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tabRatio="617" activeTab="0"/>
  </bookViews>
  <sheets>
    <sheet name="MeasureTable" sheetId="1" r:id="rId1"/>
    <sheet name="ProData" sheetId="2" r:id="rId2"/>
    <sheet name="SFResWX" sheetId="3" r:id="rId3"/>
    <sheet name="850SF" sheetId="4" r:id="rId4"/>
    <sheet name="1350SF" sheetId="5" r:id="rId5"/>
    <sheet name="2184SF" sheetId="6" r:id="rId6"/>
    <sheet name="UA Optimizer" sheetId="7" r:id="rId7"/>
    <sheet name="Cost-Effectiveness Level" sheetId="8" r:id="rId8"/>
    <sheet name="Lookup Table" sheetId="9" r:id="rId9"/>
    <sheet name="RESWX ECM Inflation DGP" sheetId="10" r:id="rId10"/>
    <sheet name="UECResWXCst" sheetId="11" r:id="rId11"/>
    <sheet name="PacPUDResWXCst" sheetId="12" r:id="rId12"/>
    <sheet name="Retrofit Cost Data" sheetId="13" r:id="rId13"/>
    <sheet name="Set Up Cost Analysis" sheetId="14" r:id="rId14"/>
    <sheet name="EWEB+PUGET SF AVG" sheetId="15" r:id="rId15"/>
    <sheet name="Summary Table" sheetId="16" r:id="rId16"/>
    <sheet name="ResWX Base Case" sheetId="17" r:id="rId17"/>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4">'1350SF'!$B$54:$K$77</definedName>
    <definedName name="_xlnm.Print_Area" localSheetId="5">'2184SF'!$B$53:$B$72</definedName>
    <definedName name="_xlnm.Print_Area" localSheetId="3">'850SF'!$B$51:$B$68</definedName>
    <definedName name="_xlnm.Print_Area" localSheetId="14">'EWEB+PUGET SF AVG'!$G$1:$K$39</definedName>
    <definedName name="_xlnm.Print_Area" localSheetId="12">'Retrofit Cost Data'!$A$1:$F$37</definedName>
    <definedName name="_xlnm.Print_Area" localSheetId="13">'Set Up Cost Analysis'!$A$1:$J$28</definedName>
    <definedName name="_xlnm.Print_Area" localSheetId="2">'SFResWX'!$B$47:$B$64</definedName>
    <definedName name="_xlnm.Print_Area" localSheetId="15">'Summary Table'!$A$1:$G$27</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A117" authorId="0">
      <text>
        <r>
          <rPr>
            <b/>
            <sz val="8"/>
            <rFont val="Tahoma"/>
            <family val="0"/>
          </rPr>
          <t>Tom Eckman:</t>
        </r>
        <r>
          <rPr>
            <sz val="8"/>
            <rFont val="Tahoma"/>
            <family val="0"/>
          </rPr>
          <t xml:space="preserve">
Includes Vault area for 1350 prototype</t>
        </r>
      </text>
    </comment>
    <comment ref="A131" authorId="0">
      <text>
        <r>
          <rPr>
            <b/>
            <sz val="8"/>
            <rFont val="Tahoma"/>
            <family val="0"/>
          </rPr>
          <t>Tom Eckman:</t>
        </r>
        <r>
          <rPr>
            <sz val="8"/>
            <rFont val="Tahoma"/>
            <family val="0"/>
          </rPr>
          <t xml:space="preserve">
Includes Vault area for 1350 prototype</t>
        </r>
      </text>
    </comment>
    <comment ref="A145" authorId="0">
      <text>
        <r>
          <rPr>
            <b/>
            <sz val="8"/>
            <rFont val="Tahoma"/>
            <family val="0"/>
          </rPr>
          <t>Tom Eckman:</t>
        </r>
        <r>
          <rPr>
            <sz val="8"/>
            <rFont val="Tahoma"/>
            <family val="0"/>
          </rPr>
          <t xml:space="preserve">
Includes Vault area for 1350 prototype</t>
        </r>
      </text>
    </comment>
    <comment ref="A159" authorId="0">
      <text>
        <r>
          <rPr>
            <b/>
            <sz val="8"/>
            <rFont val="Tahoma"/>
            <family val="0"/>
          </rPr>
          <t>Tom Eckman:</t>
        </r>
        <r>
          <rPr>
            <sz val="8"/>
            <rFont val="Tahoma"/>
            <family val="0"/>
          </rPr>
          <t xml:space="preserve">
Includes Vault area for 1350 prototype</t>
        </r>
      </text>
    </comment>
    <comment ref="A173" authorId="0">
      <text>
        <r>
          <rPr>
            <b/>
            <sz val="8"/>
            <rFont val="Tahoma"/>
            <family val="0"/>
          </rPr>
          <t>Tom Eckman:</t>
        </r>
        <r>
          <rPr>
            <sz val="8"/>
            <rFont val="Tahoma"/>
            <family val="0"/>
          </rPr>
          <t xml:space="preserve">
Includes Vault area for 1350 prototype</t>
        </r>
      </text>
    </comment>
    <comment ref="A187" authorId="0">
      <text>
        <r>
          <rPr>
            <b/>
            <sz val="8"/>
            <rFont val="Tahoma"/>
            <family val="0"/>
          </rPr>
          <t>Tom Eckman:</t>
        </r>
        <r>
          <rPr>
            <sz val="8"/>
            <rFont val="Tahoma"/>
            <family val="0"/>
          </rPr>
          <t xml:space="preserve">
Includes Vault area for 1350 prototype</t>
        </r>
      </text>
    </comment>
  </commentList>
</comments>
</file>

<file path=xl/comments8.xml><?xml version="1.0" encoding="utf-8"?>
<comments xmlns="http://schemas.openxmlformats.org/spreadsheetml/2006/main">
  <authors>
    <author>Tom Eckman</author>
  </authors>
  <commentList>
    <comment ref="A22" authorId="0">
      <text>
        <r>
          <rPr>
            <b/>
            <sz val="11"/>
            <rFont val="Tahoma"/>
            <family val="2"/>
          </rPr>
          <t>Tom Eckman: This row assumes that the baseline home is missing all measures.</t>
        </r>
        <r>
          <rPr>
            <sz val="8"/>
            <rFont val="Tahoma"/>
            <family val="0"/>
          </rPr>
          <t xml:space="preserve">
</t>
        </r>
      </text>
    </comment>
    <comment ref="A23" authorId="0">
      <text>
        <r>
          <rPr>
            <b/>
            <sz val="11"/>
            <rFont val="Tahoma"/>
            <family val="2"/>
          </rPr>
          <t>Tom Eckman:  This row assumes that the home is only missing the proportion of measures observed as the "pre" weatherization level of insulation based on the square footage reported in C&amp;R D for FY02</t>
        </r>
        <r>
          <rPr>
            <sz val="8"/>
            <rFont val="Tahoma"/>
            <family val="0"/>
          </rPr>
          <t xml:space="preserve">
</t>
        </r>
      </text>
    </comment>
  </commentList>
</comments>
</file>

<file path=xl/sharedStrings.xml><?xml version="1.0" encoding="utf-8"?>
<sst xmlns="http://schemas.openxmlformats.org/spreadsheetml/2006/main" count="1961" uniqueCount="602">
  <si>
    <t>Average UA &amp; Use of UnInsulated (Pre-1979) Stock in 2000</t>
  </si>
  <si>
    <t>Zone 1 Measure Weights (% of Sq.ft. Retrofitted)</t>
  </si>
  <si>
    <t>Zone 2 Measure Weights (% of Sq.ft. Retrofitted)</t>
  </si>
  <si>
    <t>Zone 3 Measure Weights (% of Sq.ft. Retrofitted)</t>
  </si>
  <si>
    <t>PNW Zone Measure Weights (% of Sq.ft. Retrofitted)</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</si>
  <si>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</si>
  <si>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</si>
  <si>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</si>
  <si>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</si>
  <si>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</si>
  <si>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</si>
  <si>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</si>
  <si>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</si>
  <si>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</si>
  <si>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</si>
  <si>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</si>
  <si>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</si>
  <si>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</si>
  <si>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</si>
  <si>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</si>
  <si>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</si>
  <si>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</si>
  <si>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</si>
  <si>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</si>
  <si>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</si>
  <si>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</si>
  <si>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</si>
  <si>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</si>
  <si>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</si>
  <si>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</si>
  <si>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</si>
  <si>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</si>
  <si>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</si>
  <si>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</si>
  <si>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</si>
  <si>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</si>
  <si>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</si>
  <si>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</si>
  <si>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</si>
  <si>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</si>
  <si>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</si>
  <si>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</si>
  <si>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</si>
  <si>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</si>
  <si>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</si>
  <si>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</si>
  <si>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</si>
  <si>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</si>
  <si>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</si>
  <si>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</si>
  <si>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</si>
  <si>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</si>
  <si>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</si>
  <si>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</si>
  <si>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</si>
  <si>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</si>
  <si>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</si>
  <si>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</si>
  <si>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</si>
  <si>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</si>
  <si>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</si>
  <si>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</si>
  <si>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</si>
  <si>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</si>
  <si>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</si>
  <si>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</si>
  <si>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</si>
  <si>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</si>
  <si>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</si>
  <si>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</si>
  <si>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</si>
  <si>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</si>
  <si>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</si>
  <si>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</si>
  <si>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</si>
  <si>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</si>
  <si>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</si>
  <si>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</si>
  <si>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</si>
  <si>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</si>
  <si>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</si>
  <si>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</si>
  <si>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</si>
  <si>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</si>
  <si>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</si>
  <si>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</si>
  <si>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</si>
  <si>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</si>
  <si>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</si>
  <si>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</si>
  <si>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</si>
  <si>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</si>
  <si>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</si>
  <si>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</si>
  <si>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</si>
  <si>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</si>
  <si>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</si>
  <si>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</si>
  <si>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</si>
  <si>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</si>
  <si>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</si>
  <si>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</si>
  <si>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</si>
  <si>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</si>
  <si>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</si>
  <si>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</si>
  <si>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</si>
  <si>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</si>
  <si>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</si>
  <si>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</si>
  <si>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</si>
  <si>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</si>
  <si>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</si>
  <si>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</si>
  <si>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</si>
  <si>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</si>
  <si>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</si>
  <si>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</si>
  <si>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</si>
  <si>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</si>
  <si>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</si>
  <si>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</si>
  <si>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</si>
  <si>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</si>
  <si>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</si>
  <si>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</si>
  <si>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</si>
  <si>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</si>
  <si>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</si>
  <si>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</si>
  <si>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</si>
  <si>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</si>
  <si>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</si>
  <si>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</si>
  <si>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</si>
  <si>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</si>
  <si>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</si>
  <si>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</si>
  <si>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</si>
  <si>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</si>
  <si>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</si>
  <si>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</si>
  <si>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</si>
  <si>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</si>
  <si>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</si>
  <si>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</si>
  <si>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</si>
  <si>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</si>
  <si>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</si>
  <si>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</si>
  <si>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</si>
  <si>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</si>
  <si>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</si>
  <si>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</si>
  <si>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</si>
  <si>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</si>
  <si>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</si>
  <si>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</si>
  <si>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</si>
  <si>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</si>
  <si>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</si>
  <si>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</si>
  <si>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</si>
  <si>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</si>
  <si>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</si>
  <si>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Increased comfort, reduced noise</t>
  </si>
  <si>
    <t>Reduced environmental impacts from electricity generation</t>
  </si>
  <si>
    <t>Savings assume that program is operated in accordance with existing Bonneville Power Administration Weatherization program (WeatherWise) specifications, including home qualification and quality assurance process.</t>
  </si>
  <si>
    <t>Regional Average House</t>
  </si>
  <si>
    <t>ResSHWX</t>
  </si>
  <si>
    <t>ATTIC R11</t>
  </si>
  <si>
    <t>WALL R11</t>
  </si>
  <si>
    <t>ATTIC R19</t>
  </si>
  <si>
    <t>FLOOR R11</t>
  </si>
  <si>
    <t>FLOOR R19</t>
  </si>
  <si>
    <t>ATTIC R30</t>
  </si>
  <si>
    <t>FLOOR R30</t>
  </si>
  <si>
    <t>ATTIC R38</t>
  </si>
  <si>
    <t>ATTIC R49</t>
  </si>
  <si>
    <t>FLOOR R38</t>
  </si>
  <si>
    <t>DOOR R5</t>
  </si>
  <si>
    <t>Life (yr.)</t>
  </si>
  <si>
    <t>Capital Cost</t>
  </si>
  <si>
    <t>Annual O&amp;M</t>
  </si>
  <si>
    <t>BSMT WALL R11</t>
  </si>
  <si>
    <t>BSMT WALL R21</t>
  </si>
  <si>
    <t>850 sq ft Prototype Use</t>
  </si>
  <si>
    <t>1350 sq ft Prototype Use</t>
  </si>
  <si>
    <t>2184 sq ft Prototype Use</t>
  </si>
  <si>
    <t>Prototype</t>
  </si>
  <si>
    <t>Portland</t>
  </si>
  <si>
    <t>Seattle</t>
  </si>
  <si>
    <t>Spokane</t>
  </si>
  <si>
    <t>Missoula</t>
  </si>
  <si>
    <t>UA</t>
  </si>
  <si>
    <t>Region</t>
  </si>
  <si>
    <t>Uo</t>
  </si>
  <si>
    <t>850SF</t>
  </si>
  <si>
    <t>1350SF</t>
  </si>
  <si>
    <t>2184SF</t>
  </si>
  <si>
    <t>Delta UA</t>
  </si>
  <si>
    <t>Delta Cost</t>
  </si>
  <si>
    <t>$/Delta UA</t>
  </si>
  <si>
    <t>WALL R0</t>
  </si>
  <si>
    <t>FLOOR R0</t>
  </si>
  <si>
    <t>DOOR R2.5</t>
  </si>
  <si>
    <t>BSMT WALL R0</t>
  </si>
  <si>
    <t>Heating Zone 1</t>
  </si>
  <si>
    <t>Heating Zone 2</t>
  </si>
  <si>
    <t>Heating Zone 3</t>
  </si>
  <si>
    <t>Location Climate Data</t>
  </si>
  <si>
    <t xml:space="preserve">Spokane </t>
  </si>
  <si>
    <t>Case Weights =&gt;</t>
  </si>
  <si>
    <t>850 sq ft</t>
  </si>
  <si>
    <t>1350 sq ft</t>
  </si>
  <si>
    <t>2184sq ft</t>
  </si>
  <si>
    <t>Base</t>
  </si>
  <si>
    <t>Prototype Size (sq.ft.)</t>
  </si>
  <si>
    <t>Avg.Size</t>
  </si>
  <si>
    <t>Prototype Weight</t>
  </si>
  <si>
    <t>Average Existing UA - Based on ELCAP Sample data - Large Prototype assumed to have unheated basement</t>
  </si>
  <si>
    <t>Envelope Area</t>
  </si>
  <si>
    <t>ELCAP Base Sample UA's</t>
  </si>
  <si>
    <t>Mean R-Value</t>
  </si>
  <si>
    <t>Weighted R-Value</t>
  </si>
  <si>
    <t>Pre-60</t>
  </si>
  <si>
    <t>1960/70</t>
  </si>
  <si>
    <t>1970/78</t>
  </si>
  <si>
    <t>Weighted Uo</t>
  </si>
  <si>
    <t>Weighted Uo of Pre-79 Stock</t>
  </si>
  <si>
    <t>Conductive UA  of Pre-79</t>
  </si>
  <si>
    <t>Average Total UA for Pre-79 Stock</t>
  </si>
  <si>
    <t>Average Use of Pre-79 Stock (kWh/yr)</t>
  </si>
  <si>
    <t>Wall R11</t>
  </si>
  <si>
    <t>Total UA</t>
  </si>
  <si>
    <t>Mean Use (kwh/yr)</t>
  </si>
  <si>
    <t>Mean Use (kwh/sq ft/yr)</t>
  </si>
  <si>
    <t>Incremental Cost</t>
  </si>
  <si>
    <t>Average</t>
  </si>
  <si>
    <t>Glass</t>
  </si>
  <si>
    <t>Weighted Average</t>
  </si>
  <si>
    <t>Boise</t>
  </si>
  <si>
    <t>PNW Region</t>
  </si>
  <si>
    <t>$/sf</t>
  </si>
  <si>
    <t>SFResWX</t>
  </si>
  <si>
    <t>UA Optimizer</t>
  </si>
  <si>
    <t>Lookup Table</t>
  </si>
  <si>
    <t>Windows</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</si>
  <si>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</si>
  <si>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Residential Weatherization Measure Cost - Inflation Adjustment</t>
  </si>
  <si>
    <t>Data Based on BPA Data Gathering Reports 1985-92</t>
  </si>
  <si>
    <t>Installed Cost /Sq Ft - Single Family</t>
  </si>
  <si>
    <t>Measure Category</t>
  </si>
  <si>
    <t>Code</t>
  </si>
  <si>
    <t>Attic Insulation</t>
  </si>
  <si>
    <t>M-1</t>
  </si>
  <si>
    <t>Underfloor - Crawl</t>
  </si>
  <si>
    <t>M-4</t>
  </si>
  <si>
    <t>Underfloor-BSMT</t>
  </si>
  <si>
    <t>M-5</t>
  </si>
  <si>
    <t>Basement Wall-Int</t>
  </si>
  <si>
    <t>M-9</t>
  </si>
  <si>
    <t>Wall- Exterior</t>
  </si>
  <si>
    <t>M-12</t>
  </si>
  <si>
    <t>Duct Insulation</t>
  </si>
  <si>
    <t>M-13</t>
  </si>
  <si>
    <t>Storm Windows</t>
  </si>
  <si>
    <t>M-15</t>
  </si>
  <si>
    <t>Sash Mounted Storms</t>
  </si>
  <si>
    <t>M-16</t>
  </si>
  <si>
    <t>Replacement Windows</t>
  </si>
  <si>
    <t>M-17</t>
  </si>
  <si>
    <t>Sliding Glass Doors</t>
  </si>
  <si>
    <t>M-19</t>
  </si>
  <si>
    <t>Mean Cost 89/90</t>
  </si>
  <si>
    <t>90$ to 95$</t>
  </si>
  <si>
    <t>Umatilla Electric Cooperative</t>
  </si>
  <si>
    <t>Weatherization Bid Cost Samples</t>
  </si>
  <si>
    <t>Bid</t>
  </si>
  <si>
    <t>Attic</t>
  </si>
  <si>
    <t>Square</t>
  </si>
  <si>
    <t>Cost Per</t>
  </si>
  <si>
    <t>Floor</t>
  </si>
  <si>
    <t>Date</t>
  </si>
  <si>
    <t>Insulation</t>
  </si>
  <si>
    <t>Feet</t>
  </si>
  <si>
    <t>Ft. 2</t>
  </si>
  <si>
    <t>Quantity</t>
  </si>
  <si>
    <t>Unit</t>
  </si>
  <si>
    <t>Totals</t>
  </si>
  <si>
    <t>0% INTEREST LOAN PROGRAM MEASURES</t>
  </si>
  <si>
    <t>WALLS</t>
  </si>
  <si>
    <t>SQ. FT.</t>
  </si>
  <si>
    <t>TOTAL</t>
  </si>
  <si>
    <t>CEILING</t>
  </si>
  <si>
    <t>INSULATION</t>
  </si>
  <si>
    <t>VENTS</t>
  </si>
  <si>
    <t>MISC.</t>
  </si>
  <si>
    <t>FLOOR</t>
  </si>
  <si>
    <t>COST</t>
  </si>
  <si>
    <t>R-11</t>
  </si>
  <si>
    <t>R-19</t>
  </si>
  <si>
    <t>AVERAGE</t>
  </si>
  <si>
    <t>R-27</t>
  </si>
  <si>
    <t>R-30</t>
  </si>
  <si>
    <t>R-25</t>
  </si>
  <si>
    <t>R-38</t>
  </si>
  <si>
    <t>*Miscellaneous includes baffles, kitchen &amp; bathroom fans, etc.</t>
  </si>
  <si>
    <t>*All jobs completed 1995 - 1997 (random sample)</t>
  </si>
  <si>
    <t>EWEB Retrofit Costs</t>
  </si>
  <si>
    <t>Single Family</t>
  </si>
  <si>
    <t>Multifamily</t>
  </si>
  <si>
    <t>$/SQ FT</t>
  </si>
  <si>
    <t>Attic R-0 to R-19</t>
  </si>
  <si>
    <t>NA</t>
  </si>
  <si>
    <t>Attic R-0 to R-25</t>
  </si>
  <si>
    <t>Attic R-0 to R-30</t>
  </si>
  <si>
    <t>Attic R-0 to R-38</t>
  </si>
  <si>
    <t>Underfloor R-0 to R-19</t>
  </si>
  <si>
    <t>Underfloor R-0 to R-25</t>
  </si>
  <si>
    <t>Underfloor R-0 to R-30</t>
  </si>
  <si>
    <t>Wall R-0 to R-11</t>
  </si>
  <si>
    <t>Window Prime Replacement w/U-0.4</t>
  </si>
  <si>
    <t>Puget Retrofit Costs</t>
  </si>
  <si>
    <t>Low-Income</t>
  </si>
  <si>
    <t>$/Sq ft</t>
  </si>
  <si>
    <t>Attic R-11 to R-38</t>
  </si>
  <si>
    <t>Attic R-13 to R-38</t>
  </si>
  <si>
    <t>Attic R-19 to R-38</t>
  </si>
  <si>
    <t>Wall R-0 to R-13</t>
  </si>
  <si>
    <t>Note: Window Cost from Nov. 3, 1993 Memo to Tech. Collaborative from Mary Smith</t>
  </si>
  <si>
    <t>Ducts R-0 to R-11</t>
  </si>
  <si>
    <t>Ducts R-2 to R-11</t>
  </si>
  <si>
    <t>Ducts R-3 to R-11</t>
  </si>
  <si>
    <t>Set Up Cost Analysis Using Puget Power Data</t>
  </si>
  <si>
    <t>Estimated Variable Cost</t>
  </si>
  <si>
    <t>Increment</t>
  </si>
  <si>
    <t>N</t>
  </si>
  <si>
    <t>Sq Ft</t>
  </si>
  <si>
    <t xml:space="preserve">Cost </t>
  </si>
  <si>
    <t>$/Sq Ft</t>
  </si>
  <si>
    <t>R Added</t>
  </si>
  <si>
    <t>$/SqFt/R</t>
  </si>
  <si>
    <t>$/SQ Ft</t>
  </si>
  <si>
    <t>Actual Bill</t>
  </si>
  <si>
    <t>Residual</t>
  </si>
  <si>
    <t>R0-R38</t>
  </si>
  <si>
    <t>R6-R38</t>
  </si>
  <si>
    <t>R7-R38</t>
  </si>
  <si>
    <t>R9-R38</t>
  </si>
  <si>
    <t>R11-R38</t>
  </si>
  <si>
    <t>R13-R38</t>
  </si>
  <si>
    <t>R19-R38</t>
  </si>
  <si>
    <t>Linear Fit Through Cost Data Reported</t>
  </si>
  <si>
    <t xml:space="preserve">Average Incremental Cost </t>
  </si>
  <si>
    <t>Excluding R0 to R38 and R6 to R38</t>
  </si>
  <si>
    <t>Slope ($/Sq Ft/R)</t>
  </si>
  <si>
    <t>R-Squared</t>
  </si>
  <si>
    <t xml:space="preserve">Estimated Incremental Cost </t>
  </si>
  <si>
    <t>R-Added</t>
  </si>
  <si>
    <t>w/Linear Fit</t>
  </si>
  <si>
    <t>W/Average</t>
  </si>
  <si>
    <t>R0 to R19</t>
  </si>
  <si>
    <t>R19 to R30</t>
  </si>
  <si>
    <t>R30 to R38</t>
  </si>
  <si>
    <t>R0 to R38</t>
  </si>
  <si>
    <t>Floor Insulation</t>
  </si>
  <si>
    <t>Incremental</t>
  </si>
  <si>
    <t>$/Sq Ft/R</t>
  </si>
  <si>
    <t>R0 to R25</t>
  </si>
  <si>
    <t>R0 to R30</t>
  </si>
  <si>
    <t>Average Incremental Cost ($/Sq Ft/R)</t>
  </si>
  <si>
    <t>Excluding R0 to R19</t>
  </si>
  <si>
    <t>Fixed Cost</t>
  </si>
  <si>
    <t>R0 to R11</t>
  </si>
  <si>
    <t>R11 to R19</t>
  </si>
  <si>
    <t>WSEO/Ecotope Cost for New Windows</t>
  </si>
  <si>
    <t>Total Hard Cost</t>
  </si>
  <si>
    <t>NFRC 101-92 U @ 15 mph</t>
  </si>
  <si>
    <t>U @ 7.5 mph</t>
  </si>
  <si>
    <t>Actual R-Value</t>
  </si>
  <si>
    <t>Cumulative Cost</t>
  </si>
  <si>
    <t>Incremental Delta UA</t>
  </si>
  <si>
    <t>WINDOW CL65</t>
  </si>
  <si>
    <t>WINDOW CL50</t>
  </si>
  <si>
    <t>WINDOW CL40</t>
  </si>
  <si>
    <t>WINDOW CL35</t>
  </si>
  <si>
    <t>WINDOW CL25</t>
  </si>
  <si>
    <t>WINDOW CL20</t>
  </si>
  <si>
    <t>SUM</t>
  </si>
  <si>
    <t>Combined Data</t>
  </si>
  <si>
    <t xml:space="preserve">Puget </t>
  </si>
  <si>
    <t>EWEB</t>
  </si>
  <si>
    <t>Less Cost of CL40</t>
  </si>
  <si>
    <t>Multifamily Discount due to volume, computed as ratio of total MF CL 40 cost/Total SF CL 40 cost</t>
  </si>
  <si>
    <t>Installation Cost/sq ft</t>
  </si>
  <si>
    <t>Installation Cost</t>
  </si>
  <si>
    <t>Total Installed Cost</t>
  </si>
  <si>
    <t>Cumulative $/Delta UA</t>
  </si>
  <si>
    <t>Single Pane</t>
  </si>
  <si>
    <t>Storm  Window Cost</t>
  </si>
  <si>
    <t>Incremental Cost Over Storm</t>
  </si>
  <si>
    <t>SF</t>
  </si>
  <si>
    <t>MF</t>
  </si>
  <si>
    <t>Single Family Retrofit Costs</t>
  </si>
  <si>
    <t>Multifamily Retrofit Costs</t>
  </si>
  <si>
    <t>Puget</t>
  </si>
  <si>
    <t>1994$</t>
  </si>
  <si>
    <t>1991 Plan</t>
  </si>
  <si>
    <t>Attic R-19 to R-30</t>
  </si>
  <si>
    <t>Attic R-30 to R-38</t>
  </si>
  <si>
    <t>Underfloor R-19 to R-25</t>
  </si>
  <si>
    <t>Underfloor R-25 to R-30</t>
  </si>
  <si>
    <t>Na</t>
  </si>
  <si>
    <t>BPA 1992 DGP</t>
  </si>
  <si>
    <t>$/Lin Ft</t>
  </si>
  <si>
    <t>1996 Plan</t>
  </si>
  <si>
    <t>Mean</t>
  </si>
  <si>
    <t>Underfloor R-19 to R-30</t>
  </si>
  <si>
    <t>Window Prime Replacement w/U-0.40</t>
  </si>
  <si>
    <t>RESWX ECM Inflation DGP</t>
  </si>
  <si>
    <t>2000$</t>
  </si>
  <si>
    <t>92&gt;2000$</t>
  </si>
  <si>
    <t>1996 &gt; 2000$</t>
  </si>
  <si>
    <t>PacPUD</t>
  </si>
  <si>
    <t>Existing Single Family Residence w/Electric Heat as defined by WeatherWise Specifications</t>
  </si>
  <si>
    <t>R0 - R19</t>
  </si>
  <si>
    <t>R0 - R25</t>
  </si>
  <si>
    <t>R0 - R30</t>
  </si>
  <si>
    <t>R19 - R30</t>
  </si>
  <si>
    <t>R19 - R25</t>
  </si>
  <si>
    <t>Floors</t>
  </si>
  <si>
    <t>Attics</t>
  </si>
  <si>
    <t>R0 - R38</t>
  </si>
  <si>
    <t>R19 - R38</t>
  </si>
  <si>
    <t>Walls</t>
  </si>
  <si>
    <t>R0 - R11</t>
  </si>
  <si>
    <t>Mean (PSE/EWEB/PacPUD&amp;96Plan</t>
  </si>
  <si>
    <t>Optomize macro = "Ctl - O"</t>
  </si>
  <si>
    <t>Single Family Weatherization - Energy Star Prime Window Replacement (Cost and Savings are per sq.ft. of glazed area replaced) - Heating Zone 1</t>
  </si>
  <si>
    <t>Single Family Weatherization - Energy Star Prime Window Replacement (Cost and Savings are per sq.ft. of glazed area replaced) - Heating Zone 2</t>
  </si>
  <si>
    <t>Single Family Weatherization - Energy Star Prime Window Replacement (Cost and Savings are per sq.ft. of glazed area replaced) - Heating Zone 3</t>
  </si>
  <si>
    <t>Single Family Weatherization - Infiltration Control (Cost and Savings per sq.ft. of floor area for each  0.1 ach reduction) - Heating Zone 1</t>
  </si>
  <si>
    <t>Single Family Weatherization - Infiltration Control (Cost and Savings per sq.ft. of floor area for each  0.1 ach reduction) - Heating Zone 2</t>
  </si>
  <si>
    <t>Single Family Weatherization - Infiltration Control (Cost and Savings per sq.ft. of floor area for each  0.1 ach reduction) - Heating Zone 3</t>
  </si>
  <si>
    <t>Single Family Weatherization - R0 to R11 Wall Insulation (Cost and Savings are per sq.ft. of wall area insulated) - Heating Zone 1</t>
  </si>
  <si>
    <t>Single Family Weatherization - R0 to R11 Wall Insulation (Cost and Savings are per sq.ft. of wall area insulated) - Heating Zone 2</t>
  </si>
  <si>
    <t>Single Family Weatherization - R0 to R11 Wall Insulation (Cost and Savings are per sq.ft. of wall area insulated) - Heating Zone 3</t>
  </si>
  <si>
    <t>Single Family Weatherization - R0 to R19 Attic Insulation (Cost and Savings are per sq.ft. of attic area insulated) - Heating Zone 1</t>
  </si>
  <si>
    <t>Single Family Weatherization - R0 to R19 Attic Insulation (Cost and Savings are per sq.ft. of attic area insulated) - Heating Zone 2</t>
  </si>
  <si>
    <t>Single Family Weatherization - R0 to R19 Attic Insulation (Cost and Savings are per sq.ft. of attic area insulated) - Heating Zone 3</t>
  </si>
  <si>
    <t>Single Family Weatherization - R0 to R19 Floor Insulation (Cost and Savings are per sq.ft. of floor area insulated) - Heating Zone 1</t>
  </si>
  <si>
    <t>Single Family Weatherization - R0 to R19 Floor Insulation (Cost and Savings are per sq.ft. of floor area insulated) - Heating Zone 2</t>
  </si>
  <si>
    <t>Single Family Weatherization - R0 to R19 Floor Insulation (Cost and Savings are per sq.ft. of floor area insulated) - Heating Zone 3</t>
  </si>
  <si>
    <t>Single Family Weatherization - R19 to R30 Floor Insulation (Cost and Savings are per sq.ft. of floor area insulated) - Heating Zone 1</t>
  </si>
  <si>
    <t>Single Family Weatherization - R19 to R30 Floor Insulation (Cost and Savings are per sq.ft. of floor area insulated) - Heating Zone 2</t>
  </si>
  <si>
    <t>Single Family Weatherization - R19 to R30 Floor Insulation (Cost and Savings are per sq.ft. of floor area insulated) - Heating Zone 3</t>
  </si>
  <si>
    <t>Single Family Weatherization - R19 to R38 Attic Insulation (Cost and Savings are per sq.ft. of attic area insulated) - Heating Zone 1</t>
  </si>
  <si>
    <t>Single Family Weatherization - R19 to R38 Attic Insulation (Cost and Savings are per sq.ft. of attic area insulated) - Heating Zone 2</t>
  </si>
  <si>
    <t>Single Family Weatherization - R19 to R38 Attic Insulation (Cost and Savings are per sq.ft. of attic area insulated) - Heating Zone 3</t>
  </si>
  <si>
    <t>Select Climate Zone</t>
  </si>
  <si>
    <t>Heating Zone Weight Data</t>
  </si>
  <si>
    <t>*After selecting "Case", Procost must be re-run to update cost-effectiveness calculation for selected case.</t>
  </si>
  <si>
    <t>Building UA</t>
  </si>
  <si>
    <t>Annual Use/Unit (kWh/yr))</t>
  </si>
  <si>
    <t>Annual Savings/Unit (kWh/yr)</t>
  </si>
  <si>
    <t>Cost Effective UA &amp; Use</t>
  </si>
  <si>
    <t>Weighted Use/Unit</t>
  </si>
  <si>
    <t>Weighted Savings/Unit</t>
  </si>
  <si>
    <t>Case Cost Effective UA &amp; Use of Weatherized Unit=&gt;</t>
  </si>
  <si>
    <t>CE?</t>
  </si>
  <si>
    <t>Incremental Cost (2000$)</t>
  </si>
  <si>
    <t>Remaining Potential in "UnWeatherized" Pre-1979 Stock, in 2025</t>
  </si>
  <si>
    <t>Pre-Weatherization Use (kWh/yr)</t>
  </si>
  <si>
    <t>Post Weatherization Use (kWh/yr)</t>
  </si>
  <si>
    <t>Savings (kWh/yr)</t>
  </si>
  <si>
    <t>Conservation Measure</t>
  </si>
  <si>
    <t>Prototype Component Area</t>
  </si>
  <si>
    <t>Delta Cost (2000$/SF)</t>
  </si>
  <si>
    <t>Total Incremental Cost (2000$)</t>
  </si>
  <si>
    <t>ATTIC R0</t>
  </si>
  <si>
    <t>VAULT R0</t>
  </si>
  <si>
    <t>VAULT R11</t>
  </si>
  <si>
    <t>VAULT R19</t>
  </si>
  <si>
    <t>VAULT R30</t>
  </si>
  <si>
    <t>VAULT R38</t>
  </si>
  <si>
    <t>VAULT R49</t>
  </si>
  <si>
    <t>CLASS 120 WINDOW</t>
  </si>
  <si>
    <t>CLASS 35 PRIME WINDOW (Energy Star)</t>
  </si>
  <si>
    <t xml:space="preserve">CLASS 25 PRIME WINDOW </t>
  </si>
  <si>
    <t>INFILTRATION @ O.35 ACH</t>
  </si>
  <si>
    <t>INFILTRATION @ O.45 ACH</t>
  </si>
  <si>
    <t xml:space="preserve">Component </t>
  </si>
  <si>
    <t>Infiltration Load @ 0.45 ACH</t>
  </si>
  <si>
    <t>Weighted Avg.Size</t>
  </si>
  <si>
    <t xml:space="preserve">Uninsulated Pre-1979 UA </t>
  </si>
  <si>
    <t>Installed Cost (2000$)</t>
  </si>
  <si>
    <t>Use (kWh/yr)</t>
  </si>
  <si>
    <t>5th Plan Draft 092802</t>
  </si>
  <si>
    <t>Cost-Effectiveness Level</t>
  </si>
  <si>
    <t>CLASS 25 PRIME WINDOW</t>
  </si>
  <si>
    <t>This section calculates the cost-effective UA for weatherization from the "Pre-Weatherzation Base</t>
  </si>
  <si>
    <t>Cumulative Cost ($2000)</t>
  </si>
  <si>
    <t>This section calculates the cumulative incremental cost/unit of achieving the cost-effective UA over the Pre-79 PreWeatherization Base</t>
  </si>
  <si>
    <t>Incremental Cost over "UnInsulated Pre-1979" Unit @ CE UA</t>
  </si>
  <si>
    <t>Ref. No.</t>
  </si>
  <si>
    <t>Total Units</t>
  </si>
  <si>
    <t>Measure Description</t>
  </si>
  <si>
    <t>REE00090</t>
  </si>
  <si>
    <t>REE00042</t>
  </si>
  <si>
    <t>REE00084</t>
  </si>
  <si>
    <t>REE00003</t>
  </si>
  <si>
    <t>REE00081</t>
  </si>
  <si>
    <t>REE00087</t>
  </si>
  <si>
    <t>REE00092</t>
  </si>
  <si>
    <t>REE00049</t>
  </si>
  <si>
    <t>REE00091</t>
  </si>
  <si>
    <t>REE00085</t>
  </si>
  <si>
    <t>REE00002</t>
  </si>
  <si>
    <t>REE00041</t>
  </si>
  <si>
    <t>REE00051</t>
  </si>
  <si>
    <t>REE00001</t>
  </si>
  <si>
    <t>REE00040</t>
  </si>
  <si>
    <t>REE00086</t>
  </si>
  <si>
    <t>REE00082</t>
  </si>
  <si>
    <t>REE00089</t>
  </si>
  <si>
    <t>REE00083</t>
  </si>
  <si>
    <t>REE00050</t>
  </si>
  <si>
    <t>REE00088</t>
  </si>
  <si>
    <t>Attic R0 to R19</t>
  </si>
  <si>
    <t>Attic R19 to R38</t>
  </si>
  <si>
    <t>Floor R0 to R19</t>
  </si>
  <si>
    <t>Floor R19 to R30</t>
  </si>
  <si>
    <t>Wall R0 to R11</t>
  </si>
  <si>
    <t>Infiltration 0.45 ach to 0.35 ach</t>
  </si>
  <si>
    <t>Energy Star Prime Window Replacements</t>
  </si>
  <si>
    <t>Share of ResWx Measures Installed</t>
  </si>
  <si>
    <t>Pre-ResWX U-Value</t>
  </si>
  <si>
    <t>Post-ResWX U-Value</t>
  </si>
  <si>
    <t>Subtotal Attics</t>
  </si>
  <si>
    <t>Component</t>
  </si>
  <si>
    <t>Wall</t>
  </si>
  <si>
    <t>Vault</t>
  </si>
  <si>
    <t>Door</t>
  </si>
  <si>
    <t>Wall - Below Grade</t>
  </si>
  <si>
    <t>Infiltration</t>
  </si>
  <si>
    <t>Pre-ResWxX UA</t>
  </si>
  <si>
    <t>Post-ResWxX UA</t>
  </si>
  <si>
    <t xml:space="preserve">UA of Retrofitted Components </t>
  </si>
  <si>
    <t>Change in UA</t>
  </si>
  <si>
    <t>Cost-Effective UA</t>
  </si>
  <si>
    <t>C&amp;RD Delta UA</t>
  </si>
  <si>
    <t>Pre-ResWX UA</t>
  </si>
  <si>
    <t>Single Family Weatherization - Zone 1</t>
  </si>
  <si>
    <t>Single Family Weatherization - Zone 2</t>
  </si>
  <si>
    <t>Single Family Weatherization - Zone 3</t>
  </si>
  <si>
    <t>Single Family Weatherization - PNW Average Climate</t>
  </si>
  <si>
    <t>Single family unit must meet WeatherWise Program &amp; Specifications for the installation of this measure.</t>
  </si>
  <si>
    <t>UECResWXCst</t>
  </si>
  <si>
    <t>Total Cost</t>
  </si>
  <si>
    <t xml:space="preserve">Average Pre-79 PreWeatherizarion UA in 2000 </t>
  </si>
  <si>
    <t>Use @ Cost Effectiveness Limit in 2025</t>
  </si>
  <si>
    <t>UA Change - Based on C&amp;R Discount Program FY02 ResWX Measure Reports</t>
  </si>
  <si>
    <t>Measures Installed in C&amp;RD during FY02</t>
  </si>
  <si>
    <t>=</t>
  </si>
  <si>
    <t>Weighted Total</t>
  </si>
  <si>
    <t>BASE CASE WINDOW - CLASS 50</t>
  </si>
  <si>
    <t>RETROFITTED AVERAGE WINDOW - CLASS 50</t>
  </si>
  <si>
    <t>Incremental Cost over "Un-Weatherized Pre-1979" Unit @ CE UA</t>
  </si>
  <si>
    <t>Incremental Savings - Zone 1</t>
  </si>
  <si>
    <t>Incremental Savings - Zone 2</t>
  </si>
  <si>
    <t>Incremental Savings - Zone 3</t>
  </si>
  <si>
    <t>Incremental Savings - PNW</t>
  </si>
  <si>
    <t>Total Savings</t>
  </si>
  <si>
    <t>Weighted Total Savings</t>
  </si>
  <si>
    <t>Remaining Potential in "UnWeatherized" Pre-1979 Stock, in 2025 with Cost and Savings based on Measures Reported in C&amp;RD for FY02</t>
  </si>
  <si>
    <t>Prototype Measure Optimization</t>
  </si>
  <si>
    <t xml:space="preserve">C&amp;RD Measure Reports </t>
  </si>
  <si>
    <t>Select Cost and Saving Method =&gt;</t>
  </si>
  <si>
    <t>Pre-Weatherization UA &amp; Use w/100% Measures</t>
  </si>
  <si>
    <t>Pre-Weaherization UA &amp; Use  Adj. For C&amp;RD</t>
  </si>
  <si>
    <t>Cost/Unit Using UA vs Cumuative Cost Curve Fit</t>
  </si>
  <si>
    <t>Weighted Cost/Unit</t>
  </si>
  <si>
    <t>Incremental Cost Using C&amp;R D Measure Reports</t>
  </si>
  <si>
    <t>BOISE</t>
  </si>
  <si>
    <t>MISSOULA</t>
  </si>
  <si>
    <t>PORTLAND</t>
  </si>
  <si>
    <t>SEATTLE</t>
  </si>
  <si>
    <t>SPOKANE</t>
  </si>
  <si>
    <t>Bldg SF</t>
  </si>
  <si>
    <t>UA/SF</t>
  </si>
  <si>
    <t>Loacation</t>
  </si>
  <si>
    <t>AC Load/SF</t>
  </si>
  <si>
    <t>AC Load Total (kWh)</t>
  </si>
  <si>
    <t>UA @ CE</t>
  </si>
  <si>
    <t>Post-ResWX Air Conditioning Load Curves</t>
  </si>
  <si>
    <t>Pre-ResWX Air Conditioning Load Curves</t>
  </si>
  <si>
    <t>Pre-ResWX</t>
  </si>
  <si>
    <t>Weighted Average AC Loads</t>
  </si>
  <si>
    <t>ProCost Results, Version 1.70a: JPH 03/07/01, 08:13 PM 1/13/2003</t>
  </si>
  <si>
    <t>PNW Average Climate</t>
  </si>
  <si>
    <t>R:\TE\New Plan\Residential Resource Assessment\Space Conditioning\MC_AND_LOADSHAPE.XLS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</si>
</sst>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0000000"/>
    <numFmt numFmtId="180" formatCode="0.0000000"/>
    <numFmt numFmtId="181" formatCode="0.000000"/>
    <numFmt numFmtId="182" formatCode="0.00000"/>
    <numFmt numFmtId="183" formatCode="0.0000"/>
    <numFmt numFmtId="184" formatCode="_(&quot;$&quot;* #,##0.0_);_(&quot;$&quot;* \(#,##0.0\);_(&quot;$&quot;* &quot;-&quot;??_);_(@_)"/>
    <numFmt numFmtId="185" formatCode="_(&quot;$&quot;* #,##0.000_);_(&quot;$&quot;* \(#,##0.000\);_(&quot;$&quot;* &quot;-&quot;??_);_(@_)"/>
    <numFmt numFmtId="186" formatCode="&quot;$&quot;#,##0.000_);\(&quot;$&quot;#,##0.00\)"/>
    <numFmt numFmtId="187" formatCode="&quot;$&quot;#,##0.0000\);[Red]\(&quot;$&quot;#,##0.00\)"/>
    <numFmt numFmtId="188" formatCode="&quot;$&quot;#,##0.0000;\(&quot;$&quot;#,##0.00\)"/>
    <numFmt numFmtId="189" formatCode="&quot;$&quot;#,##0.0000\);\(&quot;$&quot;#,##0.00\)"/>
    <numFmt numFmtId="190" formatCode="&quot;$&quot;#,##0.0000_);\(&quot;$&quot;#,##0.00\)"/>
    <numFmt numFmtId="191" formatCode="&quot;$&quot;#,##0.0"/>
    <numFmt numFmtId="192" formatCode="0.000000000"/>
    <numFmt numFmtId="193" formatCode="0.0000000000"/>
    <numFmt numFmtId="194" formatCode="_(* #,##0.0000_);_(* \(#,##0.0000\);_(* &quot;-&quot;????_);_(@_)"/>
  </numFmts>
  <fonts count="41">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sz val="11"/>
      <color indexed="12"/>
      <name val="Arial"/>
      <family val="2"/>
    </font>
    <font>
      <sz val="12"/>
      <name val="MS Sans Serif"/>
      <family val="0"/>
    </font>
    <font>
      <sz val="14"/>
      <name val="Arial"/>
      <family val="2"/>
    </font>
    <font>
      <sz val="12"/>
      <name val="Times New Roman"/>
      <family val="1"/>
    </font>
    <font>
      <b/>
      <sz val="12"/>
      <name val="MS Sans Serif"/>
      <family val="0"/>
    </font>
    <font>
      <b/>
      <sz val="12"/>
      <name val="Arial"/>
      <family val="0"/>
    </font>
    <font>
      <b/>
      <sz val="8.5"/>
      <name val="Arial"/>
      <family val="2"/>
    </font>
    <font>
      <sz val="10"/>
      <name val="MS Sans Serif"/>
      <family val="0"/>
    </font>
    <font>
      <b/>
      <sz val="11"/>
      <color indexed="12"/>
      <name val="Arial"/>
      <family val="2"/>
    </font>
    <font>
      <b/>
      <sz val="10"/>
      <color indexed="12"/>
      <name val="Arial"/>
      <family val="2"/>
    </font>
    <font>
      <b/>
      <sz val="10"/>
      <color indexed="36"/>
      <name val="Arial"/>
      <family val="2"/>
    </font>
    <font>
      <vertAlign val="superscript"/>
      <sz val="9.25"/>
      <name val="Arial"/>
      <family val="0"/>
    </font>
    <font>
      <sz val="9.25"/>
      <name val="Arial"/>
      <family val="0"/>
    </font>
    <font>
      <sz val="8.75"/>
      <name val="Arial"/>
      <family val="0"/>
    </font>
    <font>
      <vertAlign val="superscript"/>
      <sz val="8.75"/>
      <name val="Arial"/>
      <family val="0"/>
    </font>
    <font>
      <b/>
      <sz val="11"/>
      <name val="Tahoma"/>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bgColor indexed="64"/>
      </patternFill>
    </fill>
  </fills>
  <borders count="7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medium"/>
      <top style="medium"/>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medium"/>
      <right style="medium"/>
      <top style="thin"/>
      <bottom style="thin"/>
    </border>
    <border>
      <left style="thin"/>
      <right style="thin"/>
      <top>
        <color indexed="63"/>
      </top>
      <bottom style="medium"/>
    </border>
    <border>
      <left style="medium"/>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medium"/>
      <right style="medium">
        <color indexed="54"/>
      </right>
      <top style="medium"/>
      <bottom>
        <color indexed="63"/>
      </bottom>
    </border>
    <border>
      <left style="thin"/>
      <right>
        <color indexed="63"/>
      </right>
      <top style="medium"/>
      <bottom style="medium"/>
    </border>
    <border>
      <left>
        <color indexed="63"/>
      </left>
      <right>
        <color indexed="63"/>
      </right>
      <top style="thin"/>
      <bottom style="medium"/>
    </border>
    <border>
      <left style="thin"/>
      <right style="medium"/>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style="medium">
        <color indexed="54"/>
      </left>
      <right>
        <color indexed="63"/>
      </right>
      <top style="medium"/>
      <bottom style="medium"/>
    </border>
    <border>
      <left>
        <color indexed="63"/>
      </left>
      <right style="medium">
        <color indexed="54"/>
      </right>
      <top style="medium"/>
      <bottom style="medium"/>
    </border>
    <border>
      <left>
        <color indexed="63"/>
      </left>
      <right>
        <color indexed="63"/>
      </right>
      <top style="medium"/>
      <bottom style="thin"/>
    </border>
    <border>
      <left>
        <color indexed="63"/>
      </left>
      <right style="medium"/>
      <top style="medium"/>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32" fillId="0" borderId="0">
      <alignment/>
      <protection/>
    </xf>
    <xf numFmtId="0" fontId="23" fillId="0" borderId="0">
      <alignment/>
      <protection/>
    </xf>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09">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11" borderId="19" xfId="0" applyFont="1" applyFill="1" applyBorder="1" applyAlignment="1">
      <alignment horizontal="center" wrapText="1"/>
    </xf>
    <xf numFmtId="0" fontId="20" fillId="0" borderId="3" xfId="0" applyFont="1" applyBorder="1" applyAlignment="1">
      <alignment wrapText="1"/>
    </xf>
    <xf numFmtId="0" fontId="0" fillId="0" borderId="0" xfId="0" applyFont="1" applyAlignment="1">
      <alignment wrapText="1"/>
    </xf>
    <xf numFmtId="177" fontId="0" fillId="0" borderId="0" xfId="34" applyNumberFormat="1" applyFont="1" applyAlignment="1" applyProtection="1">
      <alignment horizontal="left"/>
      <protection/>
    </xf>
    <xf numFmtId="1" fontId="0" fillId="0" borderId="0" xfId="30" applyNumberFormat="1">
      <alignment/>
      <protection/>
    </xf>
    <xf numFmtId="5" fontId="0" fillId="0" borderId="0" xfId="34" applyNumberFormat="1">
      <alignment/>
      <protection/>
    </xf>
    <xf numFmtId="2" fontId="0" fillId="0" borderId="0" xfId="30" applyNumberFormat="1">
      <alignment/>
      <protection/>
    </xf>
    <xf numFmtId="2" fontId="0" fillId="0" borderId="0" xfId="30" applyNumberFormat="1" applyFont="1">
      <alignment/>
      <protection/>
    </xf>
    <xf numFmtId="165" fontId="11" fillId="0" borderId="0" xfId="0" applyNumberFormat="1" applyFont="1" applyAlignment="1">
      <alignment/>
    </xf>
    <xf numFmtId="165" fontId="0" fillId="0" borderId="0" xfId="0" applyNumberFormat="1" applyFont="1" applyAlignment="1">
      <alignment horizontal="right"/>
    </xf>
    <xf numFmtId="177" fontId="0" fillId="0" borderId="0" xfId="34" applyNumberFormat="1" applyAlignment="1" applyProtection="1">
      <alignment horizontal="lef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0" fontId="5" fillId="0" borderId="0" xfId="26" applyFont="1">
      <alignment/>
      <protection/>
    </xf>
    <xf numFmtId="1" fontId="5" fillId="0" borderId="0" xfId="0" applyNumberFormat="1" applyFont="1" applyAlignment="1">
      <alignment/>
    </xf>
    <xf numFmtId="0" fontId="25" fillId="0" borderId="0" xfId="0" applyFont="1" applyAlignment="1">
      <alignment/>
    </xf>
    <xf numFmtId="1" fontId="5" fillId="12" borderId="0" xfId="29" applyNumberFormat="1" applyFont="1" applyFill="1">
      <alignment/>
      <protection/>
    </xf>
    <xf numFmtId="9" fontId="0" fillId="0" borderId="3" xfId="35" applyFont="1" applyBorder="1" applyAlignment="1">
      <alignment/>
    </xf>
    <xf numFmtId="9" fontId="17" fillId="11" borderId="3" xfId="35" applyFont="1" applyFill="1" applyBorder="1" applyAlignment="1">
      <alignment/>
    </xf>
    <xf numFmtId="1" fontId="5" fillId="0" borderId="3" xfId="0" applyNumberFormat="1" applyFont="1" applyBorder="1" applyAlignment="1">
      <alignment/>
    </xf>
    <xf numFmtId="0" fontId="17" fillId="0" borderId="0" xfId="0" applyFont="1" applyAlignment="1">
      <alignment/>
    </xf>
    <xf numFmtId="44" fontId="0" fillId="0" borderId="0" xfId="17" applyAlignment="1">
      <alignment/>
    </xf>
    <xf numFmtId="44" fontId="20" fillId="0" borderId="18" xfId="17" applyNumberFormat="1" applyFont="1" applyBorder="1" applyAlignment="1">
      <alignment horizontal="center" vertical="top" wrapText="1"/>
    </xf>
    <xf numFmtId="178" fontId="20" fillId="0" borderId="18" xfId="15" applyNumberFormat="1" applyFont="1" applyBorder="1" applyAlignment="1">
      <alignment horizontal="center" vertical="top" wrapText="1"/>
    </xf>
    <xf numFmtId="0" fontId="26" fillId="0" borderId="0" xfId="31">
      <alignment/>
      <protection/>
    </xf>
    <xf numFmtId="0" fontId="26" fillId="0" borderId="0" xfId="31" applyAlignment="1" quotePrefix="1">
      <alignment horizontal="left"/>
      <protection/>
    </xf>
    <xf numFmtId="44" fontId="26" fillId="0" borderId="0" xfId="17" applyAlignment="1">
      <alignment/>
    </xf>
    <xf numFmtId="44" fontId="26" fillId="0" borderId="12" xfId="17" applyBorder="1" applyAlignment="1">
      <alignment/>
    </xf>
    <xf numFmtId="44" fontId="26" fillId="0" borderId="11" xfId="17" applyBorder="1" applyAlignment="1">
      <alignment/>
    </xf>
    <xf numFmtId="44" fontId="26" fillId="0" borderId="0" xfId="31" applyNumberFormat="1">
      <alignment/>
      <protection/>
    </xf>
    <xf numFmtId="0" fontId="17" fillId="0" borderId="0" xfId="33" applyFont="1">
      <alignment/>
      <protection/>
    </xf>
    <xf numFmtId="0" fontId="0" fillId="0" borderId="0" xfId="33">
      <alignment/>
      <protection/>
    </xf>
    <xf numFmtId="14" fontId="17" fillId="0" borderId="0" xfId="33" applyNumberFormat="1" applyFont="1">
      <alignment/>
      <protection/>
    </xf>
    <xf numFmtId="14" fontId="0" fillId="0" borderId="0" xfId="33" applyNumberFormat="1">
      <alignment/>
      <protection/>
    </xf>
    <xf numFmtId="0" fontId="17" fillId="0" borderId="1" xfId="33" applyFont="1" applyBorder="1">
      <alignment/>
      <protection/>
    </xf>
    <xf numFmtId="0" fontId="17" fillId="0" borderId="20" xfId="33" applyFont="1" applyBorder="1">
      <alignment/>
      <protection/>
    </xf>
    <xf numFmtId="0" fontId="17" fillId="0" borderId="2" xfId="33" applyFont="1" applyBorder="1">
      <alignment/>
      <protection/>
    </xf>
    <xf numFmtId="0" fontId="17" fillId="0" borderId="21" xfId="33" applyFont="1" applyBorder="1">
      <alignment/>
      <protection/>
    </xf>
    <xf numFmtId="0" fontId="17" fillId="0" borderId="0" xfId="33" applyFont="1" applyBorder="1">
      <alignment/>
      <protection/>
    </xf>
    <xf numFmtId="0" fontId="17" fillId="0" borderId="22" xfId="33" applyFont="1" applyBorder="1">
      <alignment/>
      <protection/>
    </xf>
    <xf numFmtId="170" fontId="0" fillId="0" borderId="21" xfId="33" applyNumberFormat="1" applyBorder="1">
      <alignment/>
      <protection/>
    </xf>
    <xf numFmtId="0" fontId="0" fillId="0" borderId="0" xfId="33" applyBorder="1">
      <alignment/>
      <protection/>
    </xf>
    <xf numFmtId="171" fontId="0" fillId="0" borderId="22" xfId="33" applyNumberFormat="1" applyBorder="1">
      <alignment/>
      <protection/>
    </xf>
    <xf numFmtId="170" fontId="0" fillId="0" borderId="22" xfId="33" applyNumberFormat="1" applyBorder="1">
      <alignment/>
      <protection/>
    </xf>
    <xf numFmtId="0" fontId="0" fillId="0" borderId="22" xfId="33" applyBorder="1">
      <alignment/>
      <protection/>
    </xf>
    <xf numFmtId="170" fontId="17" fillId="0" borderId="8" xfId="33" applyNumberFormat="1" applyFont="1" applyBorder="1">
      <alignment/>
      <protection/>
    </xf>
    <xf numFmtId="170" fontId="17" fillId="0" borderId="23" xfId="33" applyNumberFormat="1" applyFont="1" applyBorder="1">
      <alignment/>
      <protection/>
    </xf>
    <xf numFmtId="171" fontId="17" fillId="0" borderId="18" xfId="33" applyNumberFormat="1" applyFont="1" applyBorder="1">
      <alignment/>
      <protection/>
    </xf>
    <xf numFmtId="170" fontId="17" fillId="0" borderId="18" xfId="33" applyNumberFormat="1" applyFont="1" applyBorder="1">
      <alignment/>
      <protection/>
    </xf>
    <xf numFmtId="171" fontId="0" fillId="0" borderId="0" xfId="33" applyNumberFormat="1">
      <alignment/>
      <protection/>
    </xf>
    <xf numFmtId="170" fontId="17" fillId="0" borderId="0" xfId="33" applyNumberFormat="1" applyFont="1">
      <alignment/>
      <protection/>
    </xf>
    <xf numFmtId="170" fontId="0" fillId="0" borderId="0" xfId="33" applyNumberFormat="1">
      <alignment/>
      <protection/>
    </xf>
    <xf numFmtId="0" fontId="0" fillId="0" borderId="0" xfId="32">
      <alignment/>
      <protection/>
    </xf>
    <xf numFmtId="0" fontId="17" fillId="0" borderId="4" xfId="32" applyFont="1" applyBorder="1" applyAlignment="1">
      <alignment horizontal="center" vertical="center"/>
      <protection/>
    </xf>
    <xf numFmtId="0" fontId="17" fillId="0" borderId="2" xfId="32" applyFont="1" applyBorder="1" applyAlignment="1">
      <alignment horizontal="center" vertical="center"/>
      <protection/>
    </xf>
    <xf numFmtId="0" fontId="17" fillId="0" borderId="3" xfId="32" applyFont="1" applyBorder="1" applyAlignment="1">
      <alignment horizontal="center" vertical="center"/>
      <protection/>
    </xf>
    <xf numFmtId="0" fontId="17" fillId="0" borderId="9" xfId="32" applyFont="1" applyBorder="1" applyAlignment="1">
      <alignment horizontal="center" vertical="center"/>
      <protection/>
    </xf>
    <xf numFmtId="0" fontId="0" fillId="11" borderId="3" xfId="32" applyFill="1" applyBorder="1" applyAlignment="1">
      <alignment horizontal="center"/>
      <protection/>
    </xf>
    <xf numFmtId="3" fontId="0" fillId="0" borderId="3" xfId="32" applyNumberFormat="1" applyBorder="1" applyAlignment="1">
      <alignment horizontal="right"/>
      <protection/>
    </xf>
    <xf numFmtId="170" fontId="0" fillId="0" borderId="9" xfId="32" applyNumberFormat="1" applyBorder="1" applyAlignment="1">
      <alignment horizontal="right"/>
      <protection/>
    </xf>
    <xf numFmtId="171" fontId="0" fillId="0" borderId="9" xfId="32" applyNumberFormat="1" applyBorder="1" applyAlignment="1">
      <alignment horizontal="right"/>
      <protection/>
    </xf>
    <xf numFmtId="170" fontId="0" fillId="0" borderId="3" xfId="32" applyNumberFormat="1" applyBorder="1" applyAlignment="1">
      <alignment horizontal="right"/>
      <protection/>
    </xf>
    <xf numFmtId="170" fontId="0" fillId="0" borderId="3" xfId="32" applyNumberFormat="1" applyBorder="1">
      <alignment/>
      <protection/>
    </xf>
    <xf numFmtId="171" fontId="0" fillId="0" borderId="3" xfId="32" applyNumberFormat="1" applyBorder="1">
      <alignment/>
      <protection/>
    </xf>
    <xf numFmtId="171" fontId="0" fillId="0" borderId="3" xfId="32" applyNumberFormat="1" applyBorder="1" applyAlignment="1">
      <alignment horizontal="right"/>
      <protection/>
    </xf>
    <xf numFmtId="0" fontId="17" fillId="13" borderId="9" xfId="32" applyFont="1" applyFill="1" applyBorder="1">
      <alignment/>
      <protection/>
    </xf>
    <xf numFmtId="3" fontId="0" fillId="13" borderId="3" xfId="32" applyNumberFormat="1" applyFill="1" applyBorder="1" applyAlignment="1">
      <alignment horizontal="right"/>
      <protection/>
    </xf>
    <xf numFmtId="170" fontId="0" fillId="13" borderId="3" xfId="32" applyNumberFormat="1" applyFill="1" applyBorder="1" applyAlignment="1">
      <alignment horizontal="right"/>
      <protection/>
    </xf>
    <xf numFmtId="44" fontId="0" fillId="13" borderId="3" xfId="17" applyFill="1" applyBorder="1" applyAlignment="1">
      <alignment horizontal="right"/>
    </xf>
    <xf numFmtId="16" fontId="0" fillId="11" borderId="3" xfId="32" applyNumberFormat="1" applyFill="1" applyBorder="1" applyAlignment="1">
      <alignment horizontal="center"/>
      <protection/>
    </xf>
    <xf numFmtId="0" fontId="0" fillId="0" borderId="3" xfId="32" applyBorder="1" applyAlignment="1">
      <alignment horizontal="right"/>
      <protection/>
    </xf>
    <xf numFmtId="0" fontId="0" fillId="0" borderId="4" xfId="32" applyFill="1" applyBorder="1" applyAlignment="1">
      <alignment horizontal="center"/>
      <protection/>
    </xf>
    <xf numFmtId="0" fontId="0" fillId="0" borderId="0" xfId="32" applyFill="1" applyBorder="1" applyAlignment="1">
      <alignment horizontal="right"/>
      <protection/>
    </xf>
    <xf numFmtId="170" fontId="0" fillId="0" borderId="0" xfId="32" applyNumberFormat="1" applyFill="1" applyBorder="1" applyAlignment="1">
      <alignment horizontal="right"/>
      <protection/>
    </xf>
    <xf numFmtId="171" fontId="0" fillId="0" borderId="0" xfId="32" applyNumberFormat="1" applyFill="1" applyBorder="1" applyAlignment="1">
      <alignment horizontal="right"/>
      <protection/>
    </xf>
    <xf numFmtId="0" fontId="0" fillId="0" borderId="9" xfId="32" applyBorder="1">
      <alignment/>
      <protection/>
    </xf>
    <xf numFmtId="170" fontId="0" fillId="0" borderId="0" xfId="32" applyNumberFormat="1">
      <alignment/>
      <protection/>
    </xf>
    <xf numFmtId="171" fontId="0" fillId="0" borderId="0" xfId="32" applyNumberFormat="1">
      <alignment/>
      <protection/>
    </xf>
    <xf numFmtId="3" fontId="17" fillId="13" borderId="7" xfId="32" applyNumberFormat="1" applyFont="1" applyFill="1" applyBorder="1">
      <alignment/>
      <protection/>
    </xf>
    <xf numFmtId="170" fontId="17" fillId="13" borderId="3" xfId="32" applyNumberFormat="1" applyFont="1" applyFill="1" applyBorder="1">
      <alignment/>
      <protection/>
    </xf>
    <xf numFmtId="171" fontId="17" fillId="13" borderId="3" xfId="32" applyNumberFormat="1" applyFont="1" applyFill="1" applyBorder="1">
      <alignment/>
      <protection/>
    </xf>
    <xf numFmtId="0" fontId="17" fillId="0" borderId="0" xfId="32" applyFont="1">
      <alignment/>
      <protection/>
    </xf>
    <xf numFmtId="0" fontId="0" fillId="11" borderId="4" xfId="32" applyFill="1" applyBorder="1" applyAlignment="1">
      <alignment horizontal="center"/>
      <protection/>
    </xf>
    <xf numFmtId="3" fontId="0" fillId="0" borderId="4" xfId="32" applyNumberFormat="1" applyBorder="1" applyAlignment="1">
      <alignment horizontal="right"/>
      <protection/>
    </xf>
    <xf numFmtId="170" fontId="0" fillId="0" borderId="4" xfId="32" applyNumberFormat="1" applyBorder="1" applyAlignment="1">
      <alignment horizontal="right"/>
      <protection/>
    </xf>
    <xf numFmtId="0" fontId="17" fillId="13" borderId="3" xfId="32" applyFont="1" applyFill="1" applyBorder="1">
      <alignment/>
      <protection/>
    </xf>
    <xf numFmtId="168" fontId="0" fillId="13" borderId="3" xfId="17" applyNumberFormat="1" applyFill="1" applyBorder="1" applyAlignment="1">
      <alignment horizontal="right"/>
    </xf>
    <xf numFmtId="0" fontId="0" fillId="0" borderId="0" xfId="32" applyBorder="1">
      <alignment/>
      <protection/>
    </xf>
    <xf numFmtId="0" fontId="17" fillId="0" borderId="3" xfId="32" applyFont="1" applyBorder="1">
      <alignment/>
      <protection/>
    </xf>
    <xf numFmtId="3" fontId="17" fillId="0" borderId="3" xfId="32" applyNumberFormat="1" applyFont="1" applyBorder="1" applyAlignment="1">
      <alignment horizontal="right"/>
      <protection/>
    </xf>
    <xf numFmtId="171" fontId="17" fillId="0" borderId="3" xfId="32" applyNumberFormat="1" applyFont="1" applyBorder="1">
      <alignment/>
      <protection/>
    </xf>
    <xf numFmtId="171" fontId="17" fillId="0" borderId="3" xfId="32" applyNumberFormat="1" applyFont="1" applyBorder="1" applyAlignment="1">
      <alignment horizontal="right"/>
      <protection/>
    </xf>
    <xf numFmtId="3" fontId="0" fillId="0" borderId="0" xfId="32" applyNumberFormat="1">
      <alignment/>
      <protection/>
    </xf>
    <xf numFmtId="170" fontId="17" fillId="0" borderId="3" xfId="32" applyNumberFormat="1" applyFont="1" applyBorder="1">
      <alignment/>
      <protection/>
    </xf>
    <xf numFmtId="170" fontId="17" fillId="0" borderId="3" xfId="32" applyNumberFormat="1" applyFont="1" applyBorder="1" applyAlignment="1">
      <alignment horizontal="right"/>
      <protection/>
    </xf>
    <xf numFmtId="0" fontId="28" fillId="0" borderId="0" xfId="31" applyFont="1">
      <alignment/>
      <protection/>
    </xf>
    <xf numFmtId="0" fontId="28" fillId="0" borderId="0" xfId="31" applyFont="1" applyAlignment="1" quotePrefix="1">
      <alignment horizontal="left"/>
      <protection/>
    </xf>
    <xf numFmtId="0" fontId="28" fillId="0" borderId="0" xfId="31" applyFont="1" applyAlignment="1">
      <alignment horizontal="left"/>
      <protection/>
    </xf>
    <xf numFmtId="0" fontId="23" fillId="0" borderId="0" xfId="31" applyFont="1">
      <alignment/>
      <protection/>
    </xf>
    <xf numFmtId="0" fontId="26" fillId="0" borderId="0" xfId="31" applyAlignment="1">
      <alignment horizontal="left"/>
      <protection/>
    </xf>
    <xf numFmtId="0" fontId="28" fillId="0" borderId="0" xfId="31" applyFont="1" applyAlignment="1" quotePrefix="1">
      <alignment horizontal="right"/>
      <protection/>
    </xf>
    <xf numFmtId="44" fontId="28" fillId="0" borderId="0" xfId="17" applyFont="1" applyAlignment="1">
      <alignment/>
    </xf>
    <xf numFmtId="0" fontId="28" fillId="0" borderId="0" xfId="31" applyFont="1" applyAlignment="1">
      <alignment horizontal="left" vertical="top" wrapText="1"/>
      <protection/>
    </xf>
    <xf numFmtId="0" fontId="23" fillId="0" borderId="0" xfId="31" applyFont="1" applyAlignment="1">
      <alignment horizontal="left" wrapText="1"/>
      <protection/>
    </xf>
    <xf numFmtId="44" fontId="23" fillId="0" borderId="0" xfId="17" applyFont="1" applyAlignment="1">
      <alignment/>
    </xf>
    <xf numFmtId="5" fontId="26" fillId="0" borderId="0" xfId="17" applyNumberFormat="1" applyAlignment="1">
      <alignment/>
    </xf>
    <xf numFmtId="1" fontId="26" fillId="0" borderId="0" xfId="17" applyNumberFormat="1" applyAlignment="1">
      <alignment/>
    </xf>
    <xf numFmtId="186" fontId="26" fillId="0" borderId="0" xfId="31" applyNumberFormat="1">
      <alignment/>
      <protection/>
    </xf>
    <xf numFmtId="5" fontId="26" fillId="0" borderId="0" xfId="31" applyNumberFormat="1">
      <alignment/>
      <protection/>
    </xf>
    <xf numFmtId="188" fontId="26" fillId="0" borderId="0" xfId="17" applyNumberFormat="1" applyAlignment="1">
      <alignment/>
    </xf>
    <xf numFmtId="0" fontId="26" fillId="0" borderId="0" xfId="31" applyAlignment="1" quotePrefix="1">
      <alignment horizontal="left" vertical="top" wrapText="1"/>
      <protection/>
    </xf>
    <xf numFmtId="186" fontId="29" fillId="0" borderId="0" xfId="17" applyNumberFormat="1" applyFont="1" applyAlignment="1">
      <alignment/>
    </xf>
    <xf numFmtId="186" fontId="29" fillId="0" borderId="0" xfId="31" applyNumberFormat="1" applyFont="1">
      <alignment/>
      <protection/>
    </xf>
    <xf numFmtId="166" fontId="26" fillId="0" borderId="0" xfId="31" applyNumberFormat="1">
      <alignment/>
      <protection/>
    </xf>
    <xf numFmtId="1" fontId="26" fillId="0" borderId="0" xfId="31" applyNumberFormat="1">
      <alignment/>
      <protection/>
    </xf>
    <xf numFmtId="186" fontId="26" fillId="0" borderId="0" xfId="17" applyNumberFormat="1" applyAlignment="1">
      <alignment/>
    </xf>
    <xf numFmtId="190" fontId="26" fillId="0" borderId="0" xfId="31" applyNumberFormat="1">
      <alignment/>
      <protection/>
    </xf>
    <xf numFmtId="190" fontId="29" fillId="0" borderId="0" xfId="31" applyNumberFormat="1" applyFont="1">
      <alignment/>
      <protection/>
    </xf>
    <xf numFmtId="0" fontId="17" fillId="0" borderId="0" xfId="31" applyFont="1">
      <alignment/>
      <protection/>
    </xf>
    <xf numFmtId="0" fontId="17" fillId="0" borderId="0" xfId="31" applyFont="1" applyAlignment="1">
      <alignment horizontal="left" vertical="top" wrapText="1"/>
      <protection/>
    </xf>
    <xf numFmtId="0" fontId="17" fillId="0" borderId="0" xfId="31" applyFont="1" applyAlignment="1" quotePrefix="1">
      <alignment horizontal="left" vertical="top" wrapText="1"/>
      <protection/>
    </xf>
    <xf numFmtId="0" fontId="0" fillId="0" borderId="0" xfId="31" applyFont="1" applyAlignment="1" applyProtection="1">
      <alignment horizontal="left"/>
      <protection/>
    </xf>
    <xf numFmtId="44" fontId="0" fillId="0" borderId="0" xfId="17" applyFont="1" applyAlignment="1" applyProtection="1" quotePrefix="1">
      <alignment horizontal="left"/>
      <protection/>
    </xf>
    <xf numFmtId="2" fontId="0" fillId="0" borderId="0" xfId="17" applyNumberFormat="1" applyFont="1" applyAlignment="1" applyProtection="1" quotePrefix="1">
      <alignment horizontal="right"/>
      <protection/>
    </xf>
    <xf numFmtId="166" fontId="0" fillId="0" borderId="0" xfId="31" applyNumberFormat="1" applyFont="1">
      <alignment/>
      <protection/>
    </xf>
    <xf numFmtId="165" fontId="0" fillId="0" borderId="0" xfId="31" applyNumberFormat="1" applyFont="1">
      <alignment/>
      <protection/>
    </xf>
    <xf numFmtId="0" fontId="0" fillId="0" borderId="0" xfId="31" applyFont="1">
      <alignment/>
      <protection/>
    </xf>
    <xf numFmtId="44" fontId="0" fillId="0" borderId="0" xfId="17" applyFont="1" applyAlignment="1">
      <alignment/>
    </xf>
    <xf numFmtId="44" fontId="0" fillId="0" borderId="0" xfId="31" applyNumberFormat="1" applyFont="1">
      <alignment/>
      <protection/>
    </xf>
    <xf numFmtId="0" fontId="0" fillId="0" borderId="0" xfId="31" applyFont="1" applyAlignment="1">
      <alignment horizontal="left"/>
      <protection/>
    </xf>
    <xf numFmtId="2" fontId="0" fillId="0" borderId="0" xfId="17" applyNumberFormat="1" applyFont="1" applyAlignment="1">
      <alignment horizontal="right"/>
    </xf>
    <xf numFmtId="165" fontId="17" fillId="0" borderId="0" xfId="31" applyNumberFormat="1" applyFont="1">
      <alignment/>
      <protection/>
    </xf>
    <xf numFmtId="44" fontId="17" fillId="0" borderId="0" xfId="17" applyFont="1" applyAlignment="1">
      <alignment/>
    </xf>
    <xf numFmtId="166" fontId="17" fillId="0" borderId="0" xfId="31" applyNumberFormat="1" applyFont="1">
      <alignment/>
      <protection/>
    </xf>
    <xf numFmtId="0" fontId="29" fillId="0" borderId="0" xfId="31" applyFont="1">
      <alignment/>
      <protection/>
    </xf>
    <xf numFmtId="0" fontId="29" fillId="0" borderId="0" xfId="31" applyFont="1" applyAlignment="1">
      <alignment horizontal="left" vertical="top" wrapText="1"/>
      <protection/>
    </xf>
    <xf numFmtId="44" fontId="29" fillId="0" borderId="0" xfId="17" applyFont="1" applyAlignment="1">
      <alignment/>
    </xf>
    <xf numFmtId="9" fontId="26" fillId="0" borderId="0" xfId="35" applyAlignment="1">
      <alignment/>
    </xf>
    <xf numFmtId="0" fontId="17" fillId="0" borderId="24" xfId="31" applyFont="1" applyBorder="1">
      <alignment/>
      <protection/>
    </xf>
    <xf numFmtId="0" fontId="17" fillId="0" borderId="25" xfId="31" applyFont="1" applyBorder="1" applyAlignment="1">
      <alignment horizontal="left" vertical="top" wrapText="1"/>
      <protection/>
    </xf>
    <xf numFmtId="0" fontId="26" fillId="0" borderId="25" xfId="31" applyBorder="1">
      <alignment/>
      <protection/>
    </xf>
    <xf numFmtId="0" fontId="26" fillId="0" borderId="26" xfId="31" applyBorder="1">
      <alignment/>
      <protection/>
    </xf>
    <xf numFmtId="44" fontId="26" fillId="0" borderId="3" xfId="31" applyNumberFormat="1" applyBorder="1">
      <alignment/>
      <protection/>
    </xf>
    <xf numFmtId="166" fontId="0" fillId="0" borderId="3" xfId="31" applyNumberFormat="1" applyFont="1" applyBorder="1">
      <alignment/>
      <protection/>
    </xf>
    <xf numFmtId="44" fontId="0" fillId="0" borderId="3" xfId="17" applyFont="1" applyBorder="1" applyAlignment="1">
      <alignment/>
    </xf>
    <xf numFmtId="165" fontId="26" fillId="0" borderId="3" xfId="31" applyNumberFormat="1" applyBorder="1">
      <alignment/>
      <protection/>
    </xf>
    <xf numFmtId="0" fontId="29" fillId="0" borderId="0" xfId="31" applyFont="1" applyAlignment="1" quotePrefix="1">
      <alignment horizontal="left"/>
      <protection/>
    </xf>
    <xf numFmtId="0" fontId="29" fillId="0" borderId="0" xfId="31" applyFont="1" applyAlignment="1">
      <alignment horizontal="left"/>
      <protection/>
    </xf>
    <xf numFmtId="44" fontId="26" fillId="0" borderId="0" xfId="17" applyFont="1" applyAlignment="1">
      <alignment/>
    </xf>
    <xf numFmtId="44" fontId="29" fillId="0" borderId="0" xfId="31" applyNumberFormat="1" applyFont="1">
      <alignment/>
      <protection/>
    </xf>
    <xf numFmtId="0" fontId="26" fillId="0" borderId="0" xfId="31" applyAlignment="1">
      <alignment horizontal="left" vertical="top" wrapText="1"/>
      <protection/>
    </xf>
    <xf numFmtId="44" fontId="29" fillId="0" borderId="0" xfId="17" applyFont="1" applyAlignment="1">
      <alignment horizontal="left"/>
    </xf>
    <xf numFmtId="44" fontId="30" fillId="0" borderId="0" xfId="17" applyFont="1" applyAlignment="1">
      <alignment/>
    </xf>
    <xf numFmtId="0" fontId="29" fillId="0" borderId="0" xfId="31" applyFont="1" applyAlignment="1">
      <alignment horizontal="center"/>
      <protection/>
    </xf>
    <xf numFmtId="2" fontId="26" fillId="0" borderId="0" xfId="31" applyNumberFormat="1">
      <alignment/>
      <protection/>
    </xf>
    <xf numFmtId="169" fontId="0" fillId="0" borderId="0" xfId="0" applyNumberFormat="1" applyAlignment="1">
      <alignment/>
    </xf>
    <xf numFmtId="0" fontId="26" fillId="0" borderId="0" xfId="31" applyFont="1">
      <alignment/>
      <protection/>
    </xf>
    <xf numFmtId="0" fontId="26" fillId="0" borderId="0" xfId="31" applyFont="1" applyAlignment="1">
      <alignment wrapText="1"/>
      <protection/>
    </xf>
    <xf numFmtId="0" fontId="0" fillId="0" borderId="0" xfId="32" applyFont="1">
      <alignment/>
      <protection/>
    </xf>
    <xf numFmtId="0" fontId="0" fillId="0" borderId="3" xfId="0" applyBorder="1" applyAlignment="1">
      <alignment/>
    </xf>
    <xf numFmtId="2" fontId="0" fillId="0" borderId="3" xfId="0" applyNumberFormat="1" applyFont="1" applyBorder="1" applyAlignment="1">
      <alignment/>
    </xf>
    <xf numFmtId="9" fontId="0" fillId="0" borderId="0" xfId="35" applyAlignment="1">
      <alignment/>
    </xf>
    <xf numFmtId="0" fontId="17" fillId="11" borderId="27" xfId="0" applyFont="1" applyFill="1" applyBorder="1" applyAlignment="1">
      <alignment horizontal="right"/>
    </xf>
    <xf numFmtId="0" fontId="17" fillId="11" borderId="28" xfId="0" applyFont="1" applyFill="1" applyBorder="1" applyAlignment="1">
      <alignment horizontal="right"/>
    </xf>
    <xf numFmtId="0" fontId="18" fillId="3" borderId="1" xfId="26" applyFont="1" applyFill="1" applyBorder="1">
      <alignment/>
      <protection/>
    </xf>
    <xf numFmtId="0" fontId="17" fillId="11" borderId="12" xfId="24" applyFont="1" applyFill="1" applyBorder="1" applyAlignment="1">
      <alignment horizontal="center"/>
      <protection/>
    </xf>
    <xf numFmtId="0" fontId="17" fillId="11" borderId="24" xfId="29" applyFont="1" applyFill="1" applyBorder="1">
      <alignment/>
      <protection/>
    </xf>
    <xf numFmtId="0" fontId="17" fillId="11" borderId="25" xfId="29" applyFont="1" applyFill="1" applyBorder="1">
      <alignment/>
      <protection/>
    </xf>
    <xf numFmtId="0" fontId="0" fillId="11" borderId="29" xfId="0" applyFont="1" applyFill="1" applyBorder="1" applyAlignment="1">
      <alignment/>
    </xf>
    <xf numFmtId="0" fontId="17" fillId="12" borderId="16" xfId="29" applyFont="1" applyFill="1" applyBorder="1">
      <alignment/>
      <protection/>
    </xf>
    <xf numFmtId="9" fontId="17" fillId="12" borderId="30" xfId="35" applyFont="1" applyFill="1" applyBorder="1" applyAlignment="1">
      <alignment/>
    </xf>
    <xf numFmtId="9" fontId="17" fillId="12" borderId="26" xfId="35" applyFont="1" applyFill="1" applyBorder="1" applyAlignment="1">
      <alignment/>
    </xf>
    <xf numFmtId="0" fontId="17" fillId="11" borderId="31" xfId="24" applyFont="1" applyFill="1" applyBorder="1" applyAlignment="1">
      <alignment horizontal="left"/>
      <protection/>
    </xf>
    <xf numFmtId="9" fontId="17" fillId="11" borderId="9" xfId="35" applyFont="1" applyFill="1" applyBorder="1" applyAlignment="1">
      <alignment/>
    </xf>
    <xf numFmtId="9" fontId="17" fillId="11" borderId="32" xfId="35" applyFont="1" applyFill="1" applyBorder="1" applyAlignment="1">
      <alignment/>
    </xf>
    <xf numFmtId="0" fontId="17" fillId="11" borderId="27" xfId="24" applyFont="1" applyFill="1" applyBorder="1" applyAlignment="1">
      <alignment horizontal="right"/>
      <protection/>
    </xf>
    <xf numFmtId="9" fontId="17" fillId="11" borderId="33" xfId="35" applyFont="1" applyFill="1" applyBorder="1" applyAlignment="1">
      <alignment/>
    </xf>
    <xf numFmtId="9" fontId="17" fillId="11" borderId="4" xfId="35" applyFont="1" applyFill="1" applyBorder="1" applyAlignment="1">
      <alignment/>
    </xf>
    <xf numFmtId="9" fontId="17" fillId="11" borderId="34" xfId="35" applyFont="1" applyFill="1" applyBorder="1" applyAlignment="1">
      <alignment/>
    </xf>
    <xf numFmtId="0" fontId="17" fillId="3" borderId="35" xfId="0" applyFont="1" applyFill="1" applyBorder="1" applyAlignment="1">
      <alignment/>
    </xf>
    <xf numFmtId="1" fontId="17" fillId="3" borderId="36" xfId="35" applyNumberFormat="1" applyFont="1" applyFill="1" applyBorder="1" applyAlignment="1">
      <alignment/>
    </xf>
    <xf numFmtId="9" fontId="17" fillId="3" borderId="37" xfId="35" applyFont="1" applyFill="1" applyBorder="1" applyAlignment="1">
      <alignment/>
    </xf>
    <xf numFmtId="0" fontId="17" fillId="0" borderId="0" xfId="0" applyFont="1" applyFill="1" applyBorder="1" applyAlignment="1">
      <alignment/>
    </xf>
    <xf numFmtId="1" fontId="17" fillId="0" borderId="0" xfId="35" applyNumberFormat="1" applyFont="1" applyFill="1" applyBorder="1" applyAlignment="1">
      <alignment/>
    </xf>
    <xf numFmtId="9" fontId="17" fillId="0" borderId="0" xfId="35" applyFont="1" applyFill="1" applyBorder="1" applyAlignment="1">
      <alignment/>
    </xf>
    <xf numFmtId="0" fontId="0" fillId="14" borderId="0" xfId="0" applyFont="1" applyFill="1" applyBorder="1" applyAlignment="1">
      <alignment/>
    </xf>
    <xf numFmtId="1" fontId="17" fillId="14" borderId="12" xfId="34" applyNumberFormat="1" applyFont="1" applyFill="1" applyBorder="1" applyAlignment="1" quotePrefix="1">
      <alignment horizontal="left" wrapText="1"/>
      <protection/>
    </xf>
    <xf numFmtId="1" fontId="17" fillId="14" borderId="13" xfId="34" applyNumberFormat="1" applyFont="1" applyFill="1" applyBorder="1" applyAlignment="1">
      <alignment horizontal="center" wrapText="1"/>
      <protection/>
    </xf>
    <xf numFmtId="1" fontId="17" fillId="12" borderId="12" xfId="34" applyNumberFormat="1" applyFont="1" applyFill="1" applyBorder="1" applyAlignment="1">
      <alignment horizontal="right" wrapText="1"/>
      <protection/>
    </xf>
    <xf numFmtId="1" fontId="17" fillId="12" borderId="24" xfId="34" applyNumberFormat="1" applyFont="1" applyFill="1" applyBorder="1" applyAlignment="1">
      <alignment horizontal="left"/>
      <protection/>
    </xf>
    <xf numFmtId="1" fontId="17" fillId="12" borderId="38" xfId="34" applyNumberFormat="1" applyFont="1" applyFill="1" applyBorder="1" applyAlignment="1">
      <alignment horizontal="left"/>
      <protection/>
    </xf>
    <xf numFmtId="169" fontId="17" fillId="12" borderId="13" xfId="15" applyNumberFormat="1" applyFont="1" applyFill="1" applyBorder="1" applyAlignment="1">
      <alignment/>
    </xf>
    <xf numFmtId="169" fontId="17" fillId="12" borderId="16" xfId="15" applyNumberFormat="1" applyFont="1" applyFill="1" applyBorder="1" applyAlignment="1">
      <alignment/>
    </xf>
    <xf numFmtId="169" fontId="17" fillId="12" borderId="11" xfId="15" applyNumberFormat="1" applyFont="1" applyFill="1" applyBorder="1" applyAlignment="1">
      <alignment/>
    </xf>
    <xf numFmtId="1" fontId="0" fillId="0" borderId="27" xfId="0" applyNumberFormat="1" applyFont="1" applyBorder="1" applyAlignment="1">
      <alignment/>
    </xf>
    <xf numFmtId="1" fontId="0" fillId="0" borderId="3" xfId="0" applyNumberFormat="1" applyFont="1" applyBorder="1" applyAlignment="1">
      <alignment/>
    </xf>
    <xf numFmtId="0" fontId="0" fillId="0" borderId="33" xfId="0" applyFont="1" applyBorder="1" applyAlignment="1">
      <alignment/>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5" borderId="13" xfId="34" applyNumberFormat="1" applyFont="1" applyFill="1" applyBorder="1" applyAlignment="1">
      <alignment horizontal="center" wrapText="1"/>
      <protection/>
    </xf>
    <xf numFmtId="0" fontId="17" fillId="11" borderId="39" xfId="24" applyFont="1" applyFill="1" applyBorder="1" applyAlignment="1">
      <alignment horizontal="right"/>
      <protection/>
    </xf>
    <xf numFmtId="169" fontId="0" fillId="0" borderId="31" xfId="15" applyNumberFormat="1" applyFont="1" applyBorder="1" applyAlignment="1">
      <alignment/>
    </xf>
    <xf numFmtId="169" fontId="0" fillId="0" borderId="9" xfId="15" applyNumberFormat="1" applyFont="1" applyBorder="1" applyAlignment="1">
      <alignment/>
    </xf>
    <xf numFmtId="0" fontId="17" fillId="11" borderId="40" xfId="24" applyFont="1" applyFill="1" applyBorder="1" applyAlignment="1">
      <alignment horizontal="right"/>
      <protection/>
    </xf>
    <xf numFmtId="169" fontId="0" fillId="0" borderId="27" xfId="15" applyNumberFormat="1" applyFont="1" applyBorder="1" applyAlignment="1">
      <alignment/>
    </xf>
    <xf numFmtId="169" fontId="0" fillId="0" borderId="3" xfId="15" applyNumberFormat="1" applyFont="1" applyBorder="1" applyAlignment="1">
      <alignment/>
    </xf>
    <xf numFmtId="168" fontId="0" fillId="0" borderId="33" xfId="17" applyNumberFormat="1" applyFont="1" applyBorder="1" applyAlignment="1">
      <alignment/>
    </xf>
    <xf numFmtId="0" fontId="17" fillId="11" borderId="40" xfId="0" applyFont="1" applyFill="1" applyBorder="1" applyAlignment="1">
      <alignment horizontal="right"/>
    </xf>
    <xf numFmtId="0" fontId="17" fillId="11" borderId="41" xfId="0" applyFont="1" applyFill="1" applyBorder="1" applyAlignment="1">
      <alignment horizontal="right"/>
    </xf>
    <xf numFmtId="0" fontId="17" fillId="12" borderId="12" xfId="0" applyFont="1" applyFill="1" applyBorder="1" applyAlignment="1">
      <alignment horizontal="right"/>
    </xf>
    <xf numFmtId="169" fontId="17" fillId="12" borderId="16" xfId="0" applyNumberFormat="1" applyFont="1" applyFill="1" applyBorder="1" applyAlignment="1">
      <alignment/>
    </xf>
    <xf numFmtId="169" fontId="17" fillId="12" borderId="30" xfId="0" applyNumberFormat="1" applyFont="1" applyFill="1" applyBorder="1" applyAlignment="1">
      <alignment/>
    </xf>
    <xf numFmtId="168" fontId="17" fillId="12" borderId="26" xfId="0" applyNumberFormat="1" applyFont="1" applyFill="1" applyBorder="1" applyAlignment="1">
      <alignment/>
    </xf>
    <xf numFmtId="0" fontId="17" fillId="11" borderId="13" xfId="24" applyFont="1" applyFill="1" applyBorder="1" applyAlignment="1">
      <alignment horizontal="center"/>
      <protection/>
    </xf>
    <xf numFmtId="0" fontId="17" fillId="0" borderId="38" xfId="0" applyFont="1" applyBorder="1" applyAlignment="1">
      <alignment/>
    </xf>
    <xf numFmtId="0" fontId="17" fillId="0" borderId="14" xfId="0" applyFont="1" applyBorder="1" applyAlignment="1">
      <alignment/>
    </xf>
    <xf numFmtId="0" fontId="17" fillId="3" borderId="42" xfId="26" applyFont="1" applyFill="1" applyBorder="1">
      <alignment/>
      <protection/>
    </xf>
    <xf numFmtId="0" fontId="17" fillId="3" borderId="27" xfId="26" applyFont="1" applyFill="1" applyBorder="1">
      <alignment/>
      <protection/>
    </xf>
    <xf numFmtId="169" fontId="17" fillId="0" borderId="3" xfId="15" applyNumberFormat="1" applyFont="1" applyBorder="1" applyAlignment="1">
      <alignment/>
    </xf>
    <xf numFmtId="169" fontId="17" fillId="0" borderId="33" xfId="15" applyNumberFormat="1" applyFont="1" applyBorder="1" applyAlignment="1">
      <alignment/>
    </xf>
    <xf numFmtId="0" fontId="17" fillId="3" borderId="35" xfId="26" applyFont="1" applyFill="1" applyBorder="1">
      <alignment/>
      <protection/>
    </xf>
    <xf numFmtId="9" fontId="17" fillId="0" borderId="36" xfId="26" applyNumberFormat="1" applyFont="1" applyBorder="1">
      <alignment/>
      <protection/>
    </xf>
    <xf numFmtId="9" fontId="17" fillId="0" borderId="37" xfId="35" applyFont="1" applyBorder="1" applyAlignment="1">
      <alignment/>
    </xf>
    <xf numFmtId="0" fontId="0" fillId="16" borderId="27" xfId="25" applyFont="1" applyFill="1" applyBorder="1" applyAlignment="1" applyProtection="1" quotePrefix="1">
      <alignment horizontal="left"/>
      <protection/>
    </xf>
    <xf numFmtId="0" fontId="0" fillId="0" borderId="27" xfId="25" applyFont="1" applyBorder="1" applyAlignment="1" applyProtection="1" quotePrefix="1">
      <alignment horizontal="left"/>
      <protection/>
    </xf>
    <xf numFmtId="0" fontId="32" fillId="0" borderId="27" xfId="23" applyFont="1" applyBorder="1">
      <alignment/>
      <protection/>
    </xf>
    <xf numFmtId="166" fontId="0" fillId="16" borderId="3" xfId="25" applyNumberFormat="1" applyFont="1" applyFill="1" applyBorder="1">
      <alignment/>
      <protection/>
    </xf>
    <xf numFmtId="166" fontId="0" fillId="0" borderId="3" xfId="25" applyNumberFormat="1" applyFont="1" applyBorder="1">
      <alignment/>
      <protection/>
    </xf>
    <xf numFmtId="166" fontId="0" fillId="0" borderId="3" xfId="26" applyNumberFormat="1" applyFont="1" applyBorder="1">
      <alignment/>
      <protection/>
    </xf>
    <xf numFmtId="166" fontId="0" fillId="0" borderId="36" xfId="26" applyNumberFormat="1" applyFont="1" applyBorder="1">
      <alignment/>
      <protection/>
    </xf>
    <xf numFmtId="1" fontId="0" fillId="0" borderId="9" xfId="26" applyNumberFormat="1" applyFont="1" applyBorder="1">
      <alignment/>
      <protection/>
    </xf>
    <xf numFmtId="177" fontId="0" fillId="0" borderId="3" xfId="26" applyNumberFormat="1" applyFont="1" applyBorder="1" applyAlignment="1" applyProtection="1" quotePrefix="1">
      <alignment horizontal="center"/>
      <protection/>
    </xf>
    <xf numFmtId="1" fontId="0" fillId="0" borderId="3" xfId="26" applyNumberFormat="1" applyFont="1" applyBorder="1">
      <alignment/>
      <protection/>
    </xf>
    <xf numFmtId="44" fontId="0" fillId="13" borderId="43" xfId="17" applyFont="1" applyFill="1" applyBorder="1" applyAlignment="1">
      <alignment/>
    </xf>
    <xf numFmtId="168" fontId="0" fillId="0" borderId="7" xfId="17" applyNumberFormat="1" applyFont="1" applyBorder="1" applyAlignment="1">
      <alignment/>
    </xf>
    <xf numFmtId="168" fontId="0" fillId="0" borderId="3" xfId="17" applyNumberFormat="1" applyFont="1" applyBorder="1" applyAlignment="1">
      <alignment/>
    </xf>
    <xf numFmtId="0" fontId="0" fillId="0" borderId="27" xfId="26" applyFont="1" applyBorder="1" applyAlignment="1" applyProtection="1" quotePrefix="1">
      <alignment horizontal="left"/>
      <protection/>
    </xf>
    <xf numFmtId="0" fontId="0" fillId="0" borderId="35" xfId="26" applyFont="1" applyBorder="1" applyAlignment="1" quotePrefix="1">
      <alignment horizontal="left"/>
      <protection/>
    </xf>
    <xf numFmtId="177" fontId="0" fillId="0" borderId="36" xfId="26" applyNumberFormat="1" applyFont="1" applyBorder="1" applyAlignment="1" applyProtection="1" quotePrefix="1">
      <alignment horizontal="center"/>
      <protection/>
    </xf>
    <xf numFmtId="1" fontId="0" fillId="0" borderId="36" xfId="26" applyNumberFormat="1" applyFont="1" applyBorder="1">
      <alignment/>
      <protection/>
    </xf>
    <xf numFmtId="1" fontId="0" fillId="0" borderId="44" xfId="26" applyNumberFormat="1" applyFont="1" applyBorder="1">
      <alignment/>
      <protection/>
    </xf>
    <xf numFmtId="44" fontId="0" fillId="13" borderId="45" xfId="17" applyFont="1" applyFill="1" applyBorder="1" applyAlignment="1">
      <alignment/>
    </xf>
    <xf numFmtId="168" fontId="0" fillId="0" borderId="46" xfId="17" applyNumberFormat="1" applyFont="1" applyBorder="1" applyAlignment="1">
      <alignment/>
    </xf>
    <xf numFmtId="168" fontId="0" fillId="0" borderId="36" xfId="17" applyNumberFormat="1" applyFont="1" applyBorder="1" applyAlignment="1">
      <alignment/>
    </xf>
    <xf numFmtId="168" fontId="0" fillId="0" borderId="37" xfId="17" applyNumberFormat="1" applyFont="1" applyBorder="1" applyAlignment="1">
      <alignment/>
    </xf>
    <xf numFmtId="177" fontId="0" fillId="16" borderId="3" xfId="26" applyNumberFormat="1" applyFont="1" applyFill="1" applyBorder="1" applyAlignment="1" applyProtection="1" quotePrefix="1">
      <alignment horizontal="center"/>
      <protection/>
    </xf>
    <xf numFmtId="1" fontId="0" fillId="16" borderId="3" xfId="26" applyNumberFormat="1" applyFont="1" applyFill="1" applyBorder="1">
      <alignment/>
      <protection/>
    </xf>
    <xf numFmtId="44" fontId="0" fillId="16" borderId="43" xfId="17" applyFont="1" applyFill="1" applyBorder="1" applyAlignment="1">
      <alignment/>
    </xf>
    <xf numFmtId="168" fontId="0" fillId="16" borderId="3" xfId="17" applyNumberFormat="1" applyFont="1" applyFill="1" applyBorder="1" applyAlignment="1">
      <alignment/>
    </xf>
    <xf numFmtId="168" fontId="0" fillId="16" borderId="33" xfId="17" applyNumberFormat="1" applyFont="1" applyFill="1" applyBorder="1" applyAlignment="1">
      <alignment/>
    </xf>
    <xf numFmtId="1" fontId="0" fillId="16" borderId="3" xfId="26" applyNumberFormat="1" applyFont="1" applyFill="1" applyBorder="1" applyAlignment="1" applyProtection="1" quotePrefix="1">
      <alignment horizontal="center"/>
      <protection/>
    </xf>
    <xf numFmtId="1" fontId="0" fillId="0" borderId="3" xfId="26" applyNumberFormat="1" applyFont="1" applyBorder="1" applyAlignment="1" applyProtection="1" quotePrefix="1">
      <alignment horizontal="center"/>
      <protection/>
    </xf>
    <xf numFmtId="1" fontId="0" fillId="0" borderId="36" xfId="26" applyNumberFormat="1" applyFont="1" applyBorder="1" applyAlignment="1" applyProtection="1" quotePrefix="1">
      <alignment horizontal="center"/>
      <protection/>
    </xf>
    <xf numFmtId="0" fontId="18" fillId="0" borderId="47" xfId="0" applyFont="1" applyBorder="1" applyAlignment="1">
      <alignment/>
    </xf>
    <xf numFmtId="0" fontId="18" fillId="0" borderId="48" xfId="0" applyFont="1" applyBorder="1" applyAlignment="1">
      <alignment/>
    </xf>
    <xf numFmtId="0" fontId="18" fillId="0" borderId="48" xfId="26" applyFont="1" applyBorder="1">
      <alignment/>
      <protection/>
    </xf>
    <xf numFmtId="0" fontId="18" fillId="0" borderId="42" xfId="26" applyFont="1" applyBorder="1">
      <alignment/>
      <protection/>
    </xf>
    <xf numFmtId="9" fontId="33" fillId="0" borderId="35" xfId="0" applyNumberFormat="1" applyFont="1" applyBorder="1" applyAlignment="1">
      <alignment/>
    </xf>
    <xf numFmtId="9" fontId="33" fillId="0" borderId="36" xfId="0" applyNumberFormat="1" applyFont="1" applyBorder="1" applyAlignment="1">
      <alignment/>
    </xf>
    <xf numFmtId="0" fontId="18" fillId="0" borderId="36" xfId="26" applyFont="1" applyBorder="1">
      <alignment/>
      <protection/>
    </xf>
    <xf numFmtId="0" fontId="18" fillId="0" borderId="37" xfId="26" applyFont="1" applyBorder="1">
      <alignment/>
      <protection/>
    </xf>
    <xf numFmtId="0" fontId="25" fillId="13" borderId="3" xfId="0" applyFont="1" applyFill="1" applyBorder="1" applyAlignment="1">
      <alignment/>
    </xf>
    <xf numFmtId="177" fontId="18" fillId="0" borderId="9" xfId="27" applyFont="1" applyBorder="1">
      <alignment/>
      <protection/>
    </xf>
    <xf numFmtId="1" fontId="18" fillId="0" borderId="31" xfId="27" applyNumberFormat="1" applyFont="1" applyBorder="1">
      <alignment/>
      <protection/>
    </xf>
    <xf numFmtId="0" fontId="18" fillId="0" borderId="32" xfId="26" applyFont="1" applyBorder="1">
      <alignment/>
      <protection/>
    </xf>
    <xf numFmtId="1" fontId="5" fillId="0" borderId="27" xfId="0" applyNumberFormat="1" applyFont="1" applyBorder="1" applyAlignment="1">
      <alignment/>
    </xf>
    <xf numFmtId="1" fontId="5" fillId="12" borderId="33" xfId="29" applyNumberFormat="1" applyFont="1" applyFill="1" applyBorder="1">
      <alignment/>
      <protection/>
    </xf>
    <xf numFmtId="1" fontId="5" fillId="0" borderId="35" xfId="0" applyNumberFormat="1" applyFont="1" applyBorder="1" applyAlignment="1">
      <alignment/>
    </xf>
    <xf numFmtId="1" fontId="5" fillId="0" borderId="36" xfId="0" applyNumberFormat="1" applyFont="1" applyBorder="1" applyAlignment="1">
      <alignment/>
    </xf>
    <xf numFmtId="0" fontId="25" fillId="13" borderId="36" xfId="0" applyFont="1" applyFill="1" applyBorder="1" applyAlignment="1">
      <alignment/>
    </xf>
    <xf numFmtId="1" fontId="5" fillId="12" borderId="37" xfId="29" applyNumberFormat="1" applyFont="1" applyFill="1" applyBorder="1">
      <alignment/>
      <protection/>
    </xf>
    <xf numFmtId="0" fontId="17" fillId="11" borderId="16" xfId="25" applyFont="1" applyFill="1" applyBorder="1" applyAlignment="1">
      <alignment horizontal="left"/>
      <protection/>
    </xf>
    <xf numFmtId="0" fontId="17" fillId="11" borderId="16" xfId="25" applyFont="1" applyFill="1" applyBorder="1" applyAlignment="1">
      <alignment horizontal="right"/>
      <protection/>
    </xf>
    <xf numFmtId="1" fontId="17" fillId="11" borderId="13" xfId="25" applyNumberFormat="1" applyFont="1" applyFill="1" applyBorder="1" applyAlignment="1">
      <alignment horizontal="right"/>
      <protection/>
    </xf>
    <xf numFmtId="0" fontId="0" fillId="0" borderId="0" xfId="26" applyFont="1">
      <alignment/>
      <protection/>
    </xf>
    <xf numFmtId="0" fontId="17" fillId="0" borderId="47" xfId="0" applyFont="1" applyBorder="1" applyAlignment="1">
      <alignment/>
    </xf>
    <xf numFmtId="0" fontId="17" fillId="0" borderId="48" xfId="0" applyFont="1" applyBorder="1" applyAlignment="1">
      <alignment/>
    </xf>
    <xf numFmtId="0" fontId="17" fillId="0" borderId="48" xfId="26" applyFont="1" applyBorder="1">
      <alignment/>
      <protection/>
    </xf>
    <xf numFmtId="0" fontId="17" fillId="0" borderId="42" xfId="26" applyFont="1" applyBorder="1">
      <alignment/>
      <protection/>
    </xf>
    <xf numFmtId="166" fontId="0" fillId="0" borderId="0" xfId="26" applyNumberFormat="1" applyFont="1" applyAlignment="1" applyProtection="1" quotePrefix="1">
      <alignment horizontal="left"/>
      <protection/>
    </xf>
    <xf numFmtId="2" fontId="0" fillId="0" borderId="0" xfId="26" applyNumberFormat="1" applyFont="1">
      <alignment/>
      <protection/>
    </xf>
    <xf numFmtId="168" fontId="0" fillId="0" borderId="0" xfId="17" applyNumberFormat="1" applyFont="1" applyAlignment="1">
      <alignment/>
    </xf>
    <xf numFmtId="1" fontId="0" fillId="0" borderId="0" xfId="26" applyNumberFormat="1" applyFont="1">
      <alignment/>
      <protection/>
    </xf>
    <xf numFmtId="9" fontId="34" fillId="0" borderId="35" xfId="0" applyNumberFormat="1" applyFont="1" applyBorder="1" applyAlignment="1">
      <alignment/>
    </xf>
    <xf numFmtId="9" fontId="34" fillId="0" borderId="36" xfId="0" applyNumberFormat="1" applyFont="1" applyBorder="1" applyAlignment="1">
      <alignment/>
    </xf>
    <xf numFmtId="0" fontId="17" fillId="0" borderId="36" xfId="26" applyFont="1" applyBorder="1">
      <alignment/>
      <protection/>
    </xf>
    <xf numFmtId="0" fontId="17" fillId="0" borderId="37" xfId="26" applyFont="1" applyBorder="1">
      <alignment/>
      <protection/>
    </xf>
    <xf numFmtId="0" fontId="35" fillId="3" borderId="3" xfId="24" applyFont="1" applyFill="1" applyBorder="1" applyAlignment="1">
      <alignment horizontal="center"/>
      <protection/>
    </xf>
    <xf numFmtId="1" fontId="17" fillId="0" borderId="31" xfId="27" applyNumberFormat="1" applyFont="1" applyBorder="1">
      <alignment/>
      <protection/>
    </xf>
    <xf numFmtId="177" fontId="17" fillId="0" borderId="9" xfId="27" applyFont="1" applyBorder="1">
      <alignment/>
      <protection/>
    </xf>
    <xf numFmtId="0" fontId="17" fillId="0" borderId="32" xfId="26" applyFont="1" applyBorder="1">
      <alignment/>
      <protection/>
    </xf>
    <xf numFmtId="0" fontId="11" fillId="13" borderId="3" xfId="0" applyFont="1" applyFill="1" applyBorder="1" applyAlignment="1">
      <alignment/>
    </xf>
    <xf numFmtId="1" fontId="0" fillId="12" borderId="33" xfId="29" applyNumberFormat="1" applyFont="1" applyFill="1" applyBorder="1">
      <alignment/>
      <protection/>
    </xf>
    <xf numFmtId="168" fontId="0" fillId="0" borderId="0" xfId="26" applyNumberFormat="1" applyFont="1">
      <alignment/>
      <protection/>
    </xf>
    <xf numFmtId="166" fontId="0" fillId="0" borderId="0" xfId="26" applyNumberFormat="1" applyFont="1" applyBorder="1">
      <alignment/>
      <protection/>
    </xf>
    <xf numFmtId="9" fontId="0" fillId="0" borderId="0" xfId="35" applyFont="1" applyBorder="1" applyAlignment="1" applyProtection="1">
      <alignment horizontal="center"/>
      <protection/>
    </xf>
    <xf numFmtId="177" fontId="0" fillId="0" borderId="0" xfId="26" applyNumberFormat="1" applyFont="1" applyBorder="1" applyAlignment="1" applyProtection="1" quotePrefix="1">
      <alignment horizontal="center"/>
      <protection/>
    </xf>
    <xf numFmtId="1" fontId="0" fillId="0" borderId="0" xfId="26" applyNumberFormat="1" applyFont="1" applyBorder="1">
      <alignment/>
      <protection/>
    </xf>
    <xf numFmtId="168" fontId="0" fillId="0" borderId="3" xfId="26" applyNumberFormat="1" applyFont="1" applyBorder="1">
      <alignment/>
      <protection/>
    </xf>
    <xf numFmtId="0" fontId="0" fillId="0" borderId="0" xfId="26" applyFont="1" applyBorder="1" applyAlignment="1" applyProtection="1" quotePrefix="1">
      <alignment horizontal="left"/>
      <protection/>
    </xf>
    <xf numFmtId="0" fontId="0" fillId="0" borderId="27" xfId="26" applyFont="1" applyBorder="1">
      <alignment/>
      <protection/>
    </xf>
    <xf numFmtId="0" fontId="0" fillId="0" borderId="3" xfId="26" applyFont="1" applyBorder="1">
      <alignment/>
      <protection/>
    </xf>
    <xf numFmtId="0" fontId="0" fillId="0" borderId="28" xfId="26" applyFont="1" applyBorder="1">
      <alignment/>
      <protection/>
    </xf>
    <xf numFmtId="0" fontId="0" fillId="0" borderId="4" xfId="26" applyFont="1" applyBorder="1">
      <alignment/>
      <protection/>
    </xf>
    <xf numFmtId="177" fontId="0" fillId="0" borderId="4" xfId="26" applyNumberFormat="1" applyFont="1" applyBorder="1">
      <alignment/>
      <protection/>
    </xf>
    <xf numFmtId="0" fontId="0" fillId="0" borderId="34" xfId="26" applyFont="1" applyBorder="1">
      <alignment/>
      <protection/>
    </xf>
    <xf numFmtId="0" fontId="17" fillId="11" borderId="30" xfId="26" applyFont="1" applyFill="1" applyBorder="1" applyAlignment="1">
      <alignment wrapText="1"/>
      <protection/>
    </xf>
    <xf numFmtId="0" fontId="0" fillId="0" borderId="31" xfId="26" applyFont="1" applyBorder="1">
      <alignment/>
      <protection/>
    </xf>
    <xf numFmtId="9" fontId="0" fillId="0" borderId="9" xfId="35" applyFont="1" applyBorder="1" applyAlignment="1">
      <alignment/>
    </xf>
    <xf numFmtId="0" fontId="0" fillId="0" borderId="9" xfId="26" applyFont="1" applyBorder="1">
      <alignment/>
      <protection/>
    </xf>
    <xf numFmtId="2" fontId="0" fillId="0" borderId="9" xfId="26" applyNumberFormat="1" applyFont="1" applyBorder="1">
      <alignment/>
      <protection/>
    </xf>
    <xf numFmtId="0" fontId="0" fillId="0" borderId="32" xfId="26" applyFont="1" applyBorder="1">
      <alignment/>
      <protection/>
    </xf>
    <xf numFmtId="2" fontId="0" fillId="0" borderId="3" xfId="26" applyNumberFormat="1" applyFont="1" applyBorder="1">
      <alignment/>
      <protection/>
    </xf>
    <xf numFmtId="0" fontId="0" fillId="0" borderId="33" xfId="26" applyFont="1" applyBorder="1">
      <alignment/>
      <protection/>
    </xf>
    <xf numFmtId="0" fontId="0" fillId="0" borderId="49" xfId="26" applyFont="1" applyBorder="1">
      <alignment/>
      <protection/>
    </xf>
    <xf numFmtId="166" fontId="0" fillId="0" borderId="0" xfId="26" applyNumberFormat="1" applyFont="1">
      <alignment/>
      <protection/>
    </xf>
    <xf numFmtId="0" fontId="0" fillId="0" borderId="35" xfId="26" applyFont="1" applyBorder="1">
      <alignment/>
      <protection/>
    </xf>
    <xf numFmtId="0" fontId="0" fillId="0" borderId="36" xfId="26" applyFont="1" applyBorder="1">
      <alignment/>
      <protection/>
    </xf>
    <xf numFmtId="169" fontId="0" fillId="0" borderId="36" xfId="15" applyNumberFormat="1" applyFont="1" applyBorder="1" applyAlignment="1">
      <alignment/>
    </xf>
    <xf numFmtId="1" fontId="17" fillId="11" borderId="29" xfId="26" applyNumberFormat="1" applyFont="1" applyFill="1" applyBorder="1">
      <alignment/>
      <protection/>
    </xf>
    <xf numFmtId="0" fontId="0" fillId="0" borderId="28" xfId="26" applyFont="1" applyBorder="1" applyAlignment="1" applyProtection="1" quotePrefix="1">
      <alignment horizontal="left"/>
      <protection/>
    </xf>
    <xf numFmtId="1" fontId="0" fillId="0" borderId="4" xfId="26" applyNumberFormat="1" applyFont="1" applyBorder="1">
      <alignment/>
      <protection/>
    </xf>
    <xf numFmtId="0" fontId="0" fillId="11" borderId="16" xfId="26" applyFont="1" applyFill="1" applyBorder="1" applyAlignment="1" applyProtection="1">
      <alignment horizontal="left"/>
      <protection/>
    </xf>
    <xf numFmtId="1" fontId="0" fillId="11" borderId="30" xfId="26" applyNumberFormat="1" applyFont="1" applyFill="1" applyBorder="1">
      <alignment/>
      <protection/>
    </xf>
    <xf numFmtId="0" fontId="0" fillId="0" borderId="31" xfId="26" applyFont="1" applyBorder="1" applyAlignment="1" applyProtection="1">
      <alignment/>
      <protection/>
    </xf>
    <xf numFmtId="0" fontId="0" fillId="0" borderId="27" xfId="26" applyFont="1" applyBorder="1" applyAlignment="1" quotePrefix="1">
      <alignment horizontal="left"/>
      <protection/>
    </xf>
    <xf numFmtId="1" fontId="0" fillId="0" borderId="33" xfId="26" applyNumberFormat="1" applyFont="1" applyBorder="1">
      <alignment/>
      <protection/>
    </xf>
    <xf numFmtId="0" fontId="0" fillId="0" borderId="0" xfId="26" applyFont="1" applyAlignment="1" quotePrefix="1">
      <alignment horizontal="left"/>
      <protection/>
    </xf>
    <xf numFmtId="165" fontId="0" fillId="0" borderId="0" xfId="26" applyNumberFormat="1" applyFont="1">
      <alignment/>
      <protection/>
    </xf>
    <xf numFmtId="1" fontId="0" fillId="0" borderId="35" xfId="0" applyNumberFormat="1" applyFont="1" applyBorder="1" applyAlignment="1">
      <alignment/>
    </xf>
    <xf numFmtId="1" fontId="0" fillId="0" borderId="36" xfId="0" applyNumberFormat="1" applyFont="1" applyBorder="1" applyAlignment="1">
      <alignment/>
    </xf>
    <xf numFmtId="0" fontId="11" fillId="13" borderId="36" xfId="0" applyFont="1" applyFill="1" applyBorder="1" applyAlignment="1">
      <alignment/>
    </xf>
    <xf numFmtId="1" fontId="0" fillId="12" borderId="37" xfId="29" applyNumberFormat="1" applyFont="1" applyFill="1" applyBorder="1">
      <alignment/>
      <protection/>
    </xf>
    <xf numFmtId="1" fontId="0" fillId="0" borderId="9" xfId="0" applyNumberFormat="1" applyFont="1" applyBorder="1" applyAlignment="1">
      <alignment/>
    </xf>
    <xf numFmtId="0" fontId="11" fillId="13" borderId="9" xfId="0" applyFont="1" applyFill="1" applyBorder="1" applyAlignment="1">
      <alignment/>
    </xf>
    <xf numFmtId="1" fontId="0" fillId="12" borderId="9" xfId="29" applyNumberFormat="1" applyFont="1" applyFill="1" applyBorder="1">
      <alignment/>
      <protection/>
    </xf>
    <xf numFmtId="1" fontId="0" fillId="0" borderId="0" xfId="0" applyNumberFormat="1" applyFont="1" applyAlignment="1">
      <alignment/>
    </xf>
    <xf numFmtId="0" fontId="11" fillId="0" borderId="0" xfId="0" applyFont="1" applyAlignment="1">
      <alignment/>
    </xf>
    <xf numFmtId="1" fontId="0" fillId="12" borderId="0" xfId="29" applyNumberFormat="1" applyFont="1" applyFill="1">
      <alignment/>
      <protection/>
    </xf>
    <xf numFmtId="166" fontId="0" fillId="0" borderId="27" xfId="26" applyNumberFormat="1" applyFont="1" applyBorder="1">
      <alignment/>
      <protection/>
    </xf>
    <xf numFmtId="0" fontId="0" fillId="0" borderId="0" xfId="0" applyFont="1" applyAlignment="1">
      <alignment/>
    </xf>
    <xf numFmtId="0" fontId="0" fillId="0" borderId="0" xfId="26" applyFont="1" applyAlignment="1" applyProtection="1" quotePrefix="1">
      <alignment horizontal="left"/>
      <protection/>
    </xf>
    <xf numFmtId="0" fontId="17" fillId="11" borderId="16" xfId="26" applyFont="1" applyFill="1" applyBorder="1" applyAlignment="1">
      <alignment wrapText="1"/>
      <protection/>
    </xf>
    <xf numFmtId="0" fontId="17" fillId="11" borderId="30" xfId="26" applyFont="1" applyFill="1" applyBorder="1" applyAlignment="1">
      <alignment horizontal="left" wrapText="1"/>
      <protection/>
    </xf>
    <xf numFmtId="0" fontId="17" fillId="11" borderId="50" xfId="25" applyFont="1" applyFill="1" applyBorder="1" applyAlignment="1">
      <alignment horizontal="right"/>
      <protection/>
    </xf>
    <xf numFmtId="1" fontId="17" fillId="11" borderId="51" xfId="25" applyNumberFormat="1" applyFont="1" applyFill="1" applyBorder="1" applyAlignment="1">
      <alignment horizontal="right"/>
      <protection/>
    </xf>
    <xf numFmtId="1" fontId="0" fillId="0" borderId="34" xfId="26" applyNumberFormat="1" applyFont="1" applyBorder="1">
      <alignment/>
      <protection/>
    </xf>
    <xf numFmtId="169" fontId="17" fillId="3" borderId="47" xfId="15" applyNumberFormat="1" applyFont="1" applyFill="1" applyBorder="1" applyAlignment="1" quotePrefix="1">
      <alignment horizontal="left"/>
    </xf>
    <xf numFmtId="169" fontId="17" fillId="3" borderId="48" xfId="15" applyNumberFormat="1" applyFont="1" applyFill="1" applyBorder="1" applyAlignment="1">
      <alignment/>
    </xf>
    <xf numFmtId="169" fontId="17" fillId="3" borderId="42" xfId="15" applyNumberFormat="1" applyFont="1" applyFill="1" applyBorder="1" applyAlignment="1">
      <alignment/>
    </xf>
    <xf numFmtId="0" fontId="17" fillId="3" borderId="35" xfId="26" applyFont="1" applyFill="1" applyBorder="1" applyAlignment="1" quotePrefix="1">
      <alignment horizontal="left"/>
      <protection/>
    </xf>
    <xf numFmtId="165" fontId="17" fillId="3" borderId="36" xfId="26" applyNumberFormat="1" applyFont="1" applyFill="1" applyBorder="1">
      <alignment/>
      <protection/>
    </xf>
    <xf numFmtId="165" fontId="17" fillId="3" borderId="37" xfId="26" applyNumberFormat="1" applyFont="1" applyFill="1" applyBorder="1">
      <alignment/>
      <protection/>
    </xf>
    <xf numFmtId="0" fontId="0" fillId="0" borderId="27" xfId="26" applyFont="1" applyBorder="1" applyAlignment="1" applyProtection="1">
      <alignment/>
      <protection/>
    </xf>
    <xf numFmtId="44" fontId="0" fillId="13" borderId="52" xfId="17" applyFont="1" applyFill="1" applyBorder="1" applyAlignment="1">
      <alignment/>
    </xf>
    <xf numFmtId="168" fontId="0" fillId="16" borderId="27" xfId="17" applyNumberFormat="1" applyFont="1" applyFill="1" applyBorder="1" applyAlignment="1">
      <alignment/>
    </xf>
    <xf numFmtId="168" fontId="0" fillId="0" borderId="27" xfId="17" applyNumberFormat="1" applyFont="1" applyBorder="1" applyAlignment="1">
      <alignment/>
    </xf>
    <xf numFmtId="168" fontId="0" fillId="0" borderId="35" xfId="17" applyNumberFormat="1" applyFont="1" applyBorder="1" applyAlignment="1">
      <alignment/>
    </xf>
    <xf numFmtId="0" fontId="17" fillId="11" borderId="26" xfId="26" applyFont="1" applyFill="1" applyBorder="1" applyAlignment="1">
      <alignment wrapText="1"/>
      <protection/>
    </xf>
    <xf numFmtId="0" fontId="35" fillId="3" borderId="47" xfId="24" applyFont="1" applyFill="1" applyBorder="1" applyAlignment="1">
      <alignment horizontal="center"/>
      <protection/>
    </xf>
    <xf numFmtId="0" fontId="35" fillId="3" borderId="48" xfId="24" applyFont="1" applyFill="1" applyBorder="1" applyAlignment="1">
      <alignment horizontal="center"/>
      <protection/>
    </xf>
    <xf numFmtId="0" fontId="17" fillId="3" borderId="48" xfId="26" applyFont="1" applyFill="1" applyBorder="1">
      <alignment/>
      <protection/>
    </xf>
    <xf numFmtId="0" fontId="35" fillId="3" borderId="27" xfId="24" applyFont="1" applyFill="1" applyBorder="1" applyAlignment="1">
      <alignment horizontal="center"/>
      <protection/>
    </xf>
    <xf numFmtId="0" fontId="35" fillId="3" borderId="33" xfId="24" applyFont="1" applyFill="1" applyBorder="1" applyAlignment="1">
      <alignment horizontal="center"/>
      <protection/>
    </xf>
    <xf numFmtId="0" fontId="35" fillId="3" borderId="33" xfId="24" applyFont="1" applyFill="1" applyBorder="1" applyAlignment="1" quotePrefix="1">
      <alignment horizontal="center"/>
      <protection/>
    </xf>
    <xf numFmtId="0" fontId="0" fillId="0" borderId="42" xfId="26" applyFont="1" applyBorder="1">
      <alignment/>
      <protection/>
    </xf>
    <xf numFmtId="0" fontId="17" fillId="0" borderId="0" xfId="26" applyFont="1">
      <alignment/>
      <protection/>
    </xf>
    <xf numFmtId="2" fontId="0" fillId="0" borderId="27" xfId="26" applyNumberFormat="1" applyFont="1" applyBorder="1">
      <alignment/>
      <protection/>
    </xf>
    <xf numFmtId="0" fontId="0" fillId="0" borderId="47" xfId="25" applyFont="1" applyBorder="1" applyAlignment="1" applyProtection="1" quotePrefix="1">
      <alignment horizontal="left"/>
      <protection/>
    </xf>
    <xf numFmtId="166" fontId="0" fillId="0" borderId="48" xfId="26" applyNumberFormat="1" applyFont="1" applyBorder="1">
      <alignment/>
      <protection/>
    </xf>
    <xf numFmtId="177" fontId="0" fillId="0" borderId="48" xfId="26" applyNumberFormat="1" applyFont="1" applyBorder="1" applyAlignment="1" applyProtection="1" quotePrefix="1">
      <alignment horizontal="center"/>
      <protection/>
    </xf>
    <xf numFmtId="1" fontId="0" fillId="0" borderId="48" xfId="26" applyNumberFormat="1" applyFont="1" applyBorder="1" applyAlignment="1" applyProtection="1" quotePrefix="1">
      <alignment horizontal="center"/>
      <protection/>
    </xf>
    <xf numFmtId="1" fontId="0" fillId="0" borderId="48" xfId="26" applyNumberFormat="1" applyFont="1" applyBorder="1">
      <alignment/>
      <protection/>
    </xf>
    <xf numFmtId="168" fontId="0" fillId="0" borderId="47" xfId="17" applyNumberFormat="1" applyFont="1" applyBorder="1" applyAlignment="1">
      <alignment/>
    </xf>
    <xf numFmtId="168" fontId="0" fillId="0" borderId="48" xfId="17" applyNumberFormat="1" applyFont="1" applyBorder="1" applyAlignment="1">
      <alignment/>
    </xf>
    <xf numFmtId="168" fontId="0" fillId="0" borderId="42" xfId="17" applyNumberFormat="1" applyFont="1" applyBorder="1" applyAlignment="1">
      <alignment/>
    </xf>
    <xf numFmtId="0" fontId="0" fillId="16" borderId="35" xfId="25" applyFont="1" applyFill="1" applyBorder="1" applyAlignment="1" applyProtection="1" quotePrefix="1">
      <alignment horizontal="left"/>
      <protection/>
    </xf>
    <xf numFmtId="166" fontId="0" fillId="16" borderId="36" xfId="25" applyNumberFormat="1" applyFont="1" applyFill="1" applyBorder="1">
      <alignment/>
      <protection/>
    </xf>
    <xf numFmtId="177"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lignment/>
      <protection/>
    </xf>
    <xf numFmtId="44" fontId="0" fillId="16" borderId="45" xfId="17" applyFont="1" applyFill="1" applyBorder="1" applyAlignment="1">
      <alignment/>
    </xf>
    <xf numFmtId="168" fontId="0" fillId="16" borderId="35" xfId="17" applyNumberFormat="1" applyFont="1" applyFill="1" applyBorder="1" applyAlignment="1">
      <alignment/>
    </xf>
    <xf numFmtId="168" fontId="0" fillId="16" borderId="36" xfId="17" applyNumberFormat="1" applyFont="1" applyFill="1" applyBorder="1" applyAlignment="1">
      <alignment/>
    </xf>
    <xf numFmtId="166" fontId="0" fillId="0" borderId="48" xfId="25" applyNumberFormat="1" applyFont="1" applyBorder="1">
      <alignment/>
      <protection/>
    </xf>
    <xf numFmtId="0" fontId="0" fillId="0" borderId="35" xfId="25" applyFont="1" applyBorder="1" applyAlignment="1" applyProtection="1" quotePrefix="1">
      <alignment horizontal="left"/>
      <protection/>
    </xf>
    <xf numFmtId="166" fontId="0" fillId="0" borderId="36" xfId="25" applyNumberFormat="1" applyFont="1" applyBorder="1">
      <alignment/>
      <protection/>
    </xf>
    <xf numFmtId="0" fontId="0" fillId="16" borderId="31" xfId="25" applyFont="1" applyFill="1" applyBorder="1" applyAlignment="1" applyProtection="1" quotePrefix="1">
      <alignment horizontal="left"/>
      <protection/>
    </xf>
    <xf numFmtId="166" fontId="0" fillId="16" borderId="9" xfId="25" applyNumberFormat="1" applyFont="1" applyFill="1" applyBorder="1">
      <alignment/>
      <protection/>
    </xf>
    <xf numFmtId="177" fontId="0" fillId="16" borderId="9" xfId="26" applyNumberFormat="1" applyFont="1" applyFill="1" applyBorder="1" applyAlignment="1" applyProtection="1" quotePrefix="1">
      <alignment horizontal="center"/>
      <protection/>
    </xf>
    <xf numFmtId="1" fontId="0" fillId="16" borderId="9" xfId="26" applyNumberFormat="1" applyFont="1" applyFill="1" applyBorder="1" applyAlignment="1" applyProtection="1" quotePrefix="1">
      <alignment horizontal="center"/>
      <protection/>
    </xf>
    <xf numFmtId="1" fontId="0" fillId="16" borderId="9" xfId="26" applyNumberFormat="1" applyFont="1" applyFill="1" applyBorder="1">
      <alignment/>
      <protection/>
    </xf>
    <xf numFmtId="44" fontId="0" fillId="16" borderId="53" xfId="17" applyFont="1" applyFill="1" applyBorder="1" applyAlignment="1">
      <alignment/>
    </xf>
    <xf numFmtId="168" fontId="0" fillId="16" borderId="31" xfId="17" applyNumberFormat="1" applyFont="1" applyFill="1" applyBorder="1" applyAlignment="1">
      <alignment/>
    </xf>
    <xf numFmtId="168" fontId="0" fillId="16" borderId="9" xfId="17" applyNumberFormat="1" applyFont="1" applyFill="1" applyBorder="1" applyAlignment="1">
      <alignment/>
    </xf>
    <xf numFmtId="0" fontId="32" fillId="0" borderId="35" xfId="23" applyFont="1" applyBorder="1">
      <alignment/>
      <protection/>
    </xf>
    <xf numFmtId="0" fontId="0" fillId="0" borderId="47" xfId="25" applyFont="1" applyBorder="1">
      <alignment/>
      <protection/>
    </xf>
    <xf numFmtId="0" fontId="0" fillId="0" borderId="35" xfId="25" applyFont="1" applyBorder="1" applyAlignment="1" applyProtection="1">
      <alignment horizontal="left"/>
      <protection/>
    </xf>
    <xf numFmtId="0" fontId="0" fillId="0" borderId="35" xfId="26" applyFont="1" applyBorder="1" applyAlignment="1" applyProtection="1" quotePrefix="1">
      <alignment horizontal="left"/>
      <protection/>
    </xf>
    <xf numFmtId="166" fontId="0" fillId="0" borderId="36" xfId="26" applyNumberFormat="1" applyFont="1" applyBorder="1" applyAlignment="1">
      <alignment horizontal="right"/>
      <protection/>
    </xf>
    <xf numFmtId="166" fontId="0" fillId="0" borderId="4" xfId="26" applyNumberFormat="1" applyFont="1" applyBorder="1">
      <alignment/>
      <protection/>
    </xf>
    <xf numFmtId="177" fontId="0" fillId="0" borderId="4" xfId="26" applyNumberFormat="1" applyFont="1" applyBorder="1" applyAlignment="1" applyProtection="1" quotePrefix="1">
      <alignment horizontal="center"/>
      <protection/>
    </xf>
    <xf numFmtId="1" fontId="0" fillId="0" borderId="4" xfId="26" applyNumberFormat="1" applyFont="1" applyBorder="1" applyAlignment="1" applyProtection="1" quotePrefix="1">
      <alignment horizontal="center"/>
      <protection/>
    </xf>
    <xf numFmtId="44" fontId="0" fillId="13" borderId="54" xfId="17" applyFont="1" applyFill="1" applyBorder="1" applyAlignment="1">
      <alignment/>
    </xf>
    <xf numFmtId="168" fontId="0" fillId="0" borderId="28" xfId="17" applyNumberFormat="1" applyFont="1" applyBorder="1" applyAlignment="1">
      <alignment/>
    </xf>
    <xf numFmtId="168" fontId="0" fillId="0" borderId="4" xfId="17" applyNumberFormat="1" applyFont="1" applyBorder="1" applyAlignment="1">
      <alignment/>
    </xf>
    <xf numFmtId="44" fontId="0" fillId="16" borderId="3" xfId="17" applyFont="1" applyFill="1" applyBorder="1" applyAlignment="1">
      <alignment/>
    </xf>
    <xf numFmtId="44" fontId="0" fillId="13" borderId="48" xfId="17" applyFont="1" applyFill="1" applyBorder="1" applyAlignment="1">
      <alignment/>
    </xf>
    <xf numFmtId="44" fontId="0" fillId="13" borderId="36" xfId="17" applyFont="1" applyFill="1" applyBorder="1" applyAlignment="1">
      <alignment/>
    </xf>
    <xf numFmtId="0" fontId="17" fillId="11" borderId="24" xfId="25" applyFont="1" applyFill="1" applyBorder="1" applyAlignment="1">
      <alignment horizontal="left"/>
      <protection/>
    </xf>
    <xf numFmtId="0" fontId="17" fillId="11" borderId="24" xfId="25" applyFont="1" applyFill="1" applyBorder="1" applyAlignment="1">
      <alignment horizontal="right"/>
      <protection/>
    </xf>
    <xf numFmtId="1" fontId="17" fillId="11" borderId="19" xfId="25" applyNumberFormat="1" applyFont="1" applyFill="1" applyBorder="1" applyAlignment="1">
      <alignment horizontal="right"/>
      <protection/>
    </xf>
    <xf numFmtId="169" fontId="17" fillId="3" borderId="31" xfId="15" applyNumberFormat="1" applyFont="1" applyFill="1" applyBorder="1" applyAlignment="1" quotePrefix="1">
      <alignment horizontal="left"/>
    </xf>
    <xf numFmtId="169" fontId="17" fillId="3" borderId="9" xfId="15" applyNumberFormat="1" applyFont="1" applyFill="1" applyBorder="1" applyAlignment="1">
      <alignment/>
    </xf>
    <xf numFmtId="169" fontId="17" fillId="3" borderId="32" xfId="15" applyNumberFormat="1" applyFont="1" applyFill="1" applyBorder="1" applyAlignment="1">
      <alignment/>
    </xf>
    <xf numFmtId="0" fontId="0" fillId="0" borderId="28" xfId="25" applyFont="1" applyBorder="1">
      <alignment/>
      <protection/>
    </xf>
    <xf numFmtId="0" fontId="0" fillId="0" borderId="27" xfId="25" applyFont="1" applyBorder="1">
      <alignment/>
      <protection/>
    </xf>
    <xf numFmtId="0" fontId="0" fillId="0" borderId="47" xfId="26" applyFont="1" applyBorder="1">
      <alignment/>
      <protection/>
    </xf>
    <xf numFmtId="0" fontId="0" fillId="0" borderId="48" xfId="26" applyFont="1" applyBorder="1">
      <alignment/>
      <protection/>
    </xf>
    <xf numFmtId="44" fontId="0" fillId="0" borderId="48" xfId="17" applyFont="1" applyBorder="1" applyAlignment="1">
      <alignment/>
    </xf>
    <xf numFmtId="0" fontId="17" fillId="3" borderId="24" xfId="26" applyFont="1" applyFill="1" applyBorder="1" applyAlignment="1">
      <alignment wrapText="1"/>
      <protection/>
    </xf>
    <xf numFmtId="0" fontId="17" fillId="3" borderId="25" xfId="26" applyFont="1" applyFill="1" applyBorder="1" applyAlignment="1">
      <alignment wrapText="1"/>
      <protection/>
    </xf>
    <xf numFmtId="0" fontId="17" fillId="3" borderId="29" xfId="26" applyFont="1" applyFill="1" applyBorder="1" applyAlignment="1">
      <alignment wrapText="1"/>
      <protection/>
    </xf>
    <xf numFmtId="0" fontId="17" fillId="3" borderId="30" xfId="26" applyFont="1" applyFill="1" applyBorder="1" applyAlignment="1">
      <alignment wrapText="1"/>
      <protection/>
    </xf>
    <xf numFmtId="0" fontId="17" fillId="3" borderId="26" xfId="26" applyFont="1" applyFill="1" applyBorder="1" applyAlignment="1">
      <alignment wrapText="1"/>
      <protection/>
    </xf>
    <xf numFmtId="169" fontId="17" fillId="12" borderId="24" xfId="15" applyNumberFormat="1" applyFont="1" applyFill="1" applyBorder="1" applyAlignment="1">
      <alignment horizontal="left"/>
    </xf>
    <xf numFmtId="169" fontId="17" fillId="12" borderId="38" xfId="15" applyNumberFormat="1" applyFont="1" applyFill="1" applyBorder="1" applyAlignment="1">
      <alignment horizontal="left"/>
    </xf>
    <xf numFmtId="0" fontId="0" fillId="0" borderId="5" xfId="0" applyFont="1" applyBorder="1" applyAlignment="1">
      <alignment/>
    </xf>
    <xf numFmtId="0" fontId="0" fillId="0" borderId="37" xfId="0" applyFont="1" applyBorder="1" applyAlignment="1">
      <alignment/>
    </xf>
    <xf numFmtId="0" fontId="17" fillId="0" borderId="47" xfId="0" applyFont="1" applyBorder="1" applyAlignment="1">
      <alignment horizontal="right"/>
    </xf>
    <xf numFmtId="0" fontId="17" fillId="0" borderId="42" xfId="0" applyFont="1" applyBorder="1" applyAlignment="1">
      <alignment horizontal="center"/>
    </xf>
    <xf numFmtId="0" fontId="0" fillId="0" borderId="35" xfId="0" applyBorder="1" applyAlignment="1">
      <alignment/>
    </xf>
    <xf numFmtId="0" fontId="17" fillId="0" borderId="55" xfId="0" applyFont="1" applyBorder="1" applyAlignment="1">
      <alignment horizontal="center"/>
    </xf>
    <xf numFmtId="0" fontId="0" fillId="0" borderId="56" xfId="0" applyBorder="1" applyAlignment="1">
      <alignment/>
    </xf>
    <xf numFmtId="0" fontId="17" fillId="0" borderId="57" xfId="0" applyFont="1" applyBorder="1" applyAlignment="1">
      <alignment horizontal="right"/>
    </xf>
    <xf numFmtId="1" fontId="0" fillId="0" borderId="7" xfId="0" applyNumberFormat="1" applyFont="1" applyBorder="1" applyAlignment="1">
      <alignment/>
    </xf>
    <xf numFmtId="0" fontId="17" fillId="14" borderId="0" xfId="0" applyFont="1" applyFill="1" applyBorder="1" applyAlignment="1">
      <alignment/>
    </xf>
    <xf numFmtId="1" fontId="17" fillId="17" borderId="12" xfId="34" applyNumberFormat="1" applyFont="1" applyFill="1" applyBorder="1" applyAlignment="1">
      <alignment horizontal="left" wrapText="1"/>
      <protection/>
    </xf>
    <xf numFmtId="1" fontId="17" fillId="14" borderId="13" xfId="0" applyNumberFormat="1" applyFont="1" applyFill="1" applyBorder="1" applyAlignment="1">
      <alignment horizontal="center" wrapText="1"/>
    </xf>
    <xf numFmtId="168" fontId="0" fillId="0" borderId="48" xfId="26" applyNumberFormat="1" applyFont="1" applyBorder="1">
      <alignment/>
      <protection/>
    </xf>
    <xf numFmtId="168" fontId="0" fillId="0" borderId="9" xfId="26" applyNumberFormat="1" applyFont="1" applyBorder="1">
      <alignment/>
      <protection/>
    </xf>
    <xf numFmtId="168" fontId="17" fillId="12" borderId="11" xfId="17" applyNumberFormat="1" applyFont="1" applyFill="1" applyBorder="1" applyAlignment="1">
      <alignment/>
    </xf>
    <xf numFmtId="169" fontId="0" fillId="0" borderId="0" xfId="15" applyNumberFormat="1" applyFont="1" applyAlignment="1">
      <alignment/>
    </xf>
    <xf numFmtId="168" fontId="0" fillId="0" borderId="9" xfId="17" applyNumberFormat="1" applyFont="1" applyBorder="1" applyAlignment="1">
      <alignment/>
    </xf>
    <xf numFmtId="0" fontId="0" fillId="0" borderId="42" xfId="0" applyFont="1" applyBorder="1" applyAlignment="1">
      <alignment/>
    </xf>
    <xf numFmtId="1" fontId="17" fillId="14" borderId="58" xfId="34" applyNumberFormat="1" applyFont="1" applyFill="1" applyBorder="1" applyAlignment="1" quotePrefix="1">
      <alignment horizontal="center" wrapText="1"/>
      <protection/>
    </xf>
    <xf numFmtId="1" fontId="17" fillId="0" borderId="50" xfId="34" applyNumberFormat="1" applyFont="1" applyFill="1" applyBorder="1" applyAlignment="1">
      <alignment horizontal="left"/>
      <protection/>
    </xf>
    <xf numFmtId="169" fontId="17" fillId="0" borderId="50" xfId="15" applyNumberFormat="1" applyFont="1" applyFill="1" applyBorder="1" applyAlignment="1">
      <alignment horizontal="left"/>
    </xf>
    <xf numFmtId="169" fontId="17" fillId="0" borderId="51" xfId="15" applyNumberFormat="1" applyFont="1" applyFill="1" applyBorder="1" applyAlignment="1">
      <alignment horizontal="left"/>
    </xf>
    <xf numFmtId="1" fontId="17" fillId="14" borderId="19" xfId="34" applyNumberFormat="1" applyFont="1" applyFill="1" applyBorder="1" applyAlignment="1">
      <alignment horizontal="center" wrapText="1"/>
      <protection/>
    </xf>
    <xf numFmtId="1" fontId="17" fillId="14" borderId="11" xfId="34" applyNumberFormat="1" applyFont="1" applyFill="1" applyBorder="1" applyAlignment="1">
      <alignment horizontal="center" wrapText="1"/>
      <protection/>
    </xf>
    <xf numFmtId="1" fontId="17" fillId="0" borderId="12" xfId="34" applyNumberFormat="1" applyFont="1" applyFill="1" applyBorder="1" applyAlignment="1" quotePrefix="1">
      <alignment horizontal="left" wrapText="1"/>
      <protection/>
    </xf>
    <xf numFmtId="169" fontId="17" fillId="0" borderId="10" xfId="15" applyNumberFormat="1" applyFont="1" applyBorder="1" applyAlignment="1">
      <alignment/>
    </xf>
    <xf numFmtId="1" fontId="17" fillId="0" borderId="13" xfId="34" applyNumberFormat="1" applyFont="1" applyFill="1" applyBorder="1" applyAlignment="1">
      <alignment horizontal="left"/>
      <protection/>
    </xf>
    <xf numFmtId="169" fontId="17" fillId="0" borderId="13" xfId="15" applyNumberFormat="1" applyFont="1" applyFill="1" applyBorder="1" applyAlignment="1">
      <alignment horizontal="left"/>
    </xf>
    <xf numFmtId="2" fontId="0" fillId="0" borderId="7" xfId="28" applyNumberFormat="1" applyFont="1" applyBorder="1">
      <alignment/>
      <protection/>
    </xf>
    <xf numFmtId="0" fontId="0" fillId="0" borderId="55" xfId="0" applyFont="1" applyBorder="1" applyAlignment="1">
      <alignment/>
    </xf>
    <xf numFmtId="168" fontId="0" fillId="0" borderId="57" xfId="17" applyNumberFormat="1" applyFont="1" applyBorder="1" applyAlignment="1">
      <alignment/>
    </xf>
    <xf numFmtId="168" fontId="17" fillId="12" borderId="12" xfId="17" applyNumberFormat="1" applyFont="1" applyFill="1" applyBorder="1" applyAlignment="1">
      <alignment horizontal="center"/>
    </xf>
    <xf numFmtId="168" fontId="17" fillId="12" borderId="11" xfId="17" applyNumberFormat="1" applyFont="1" applyFill="1" applyBorder="1" applyAlignment="1">
      <alignment horizontal="center"/>
    </xf>
    <xf numFmtId="169" fontId="0" fillId="0" borderId="0" xfId="15" applyNumberFormat="1" applyAlignment="1">
      <alignment/>
    </xf>
    <xf numFmtId="0" fontId="17" fillId="0" borderId="3" xfId="0" applyFont="1" applyBorder="1" applyAlignment="1">
      <alignment wrapText="1"/>
    </xf>
    <xf numFmtId="169" fontId="17" fillId="0" borderId="3" xfId="15" applyNumberFormat="1" applyFont="1" applyBorder="1" applyAlignment="1">
      <alignment wrapText="1"/>
    </xf>
    <xf numFmtId="169" fontId="0" fillId="0" borderId="0" xfId="15" applyNumberFormat="1" applyAlignment="1">
      <alignment/>
    </xf>
    <xf numFmtId="9" fontId="0" fillId="0" borderId="3" xfId="35" applyBorder="1" applyAlignment="1">
      <alignment/>
    </xf>
    <xf numFmtId="169" fontId="0" fillId="0" borderId="3" xfId="15" applyNumberFormat="1" applyBorder="1" applyAlignment="1">
      <alignment/>
    </xf>
    <xf numFmtId="169" fontId="0" fillId="0" borderId="3" xfId="15" applyNumberFormat="1" applyFont="1" applyBorder="1" applyAlignment="1">
      <alignment/>
    </xf>
    <xf numFmtId="169" fontId="0" fillId="0" borderId="3" xfId="15" applyNumberFormat="1" applyFont="1" applyBorder="1" applyAlignment="1">
      <alignment horizontal="left"/>
    </xf>
    <xf numFmtId="0" fontId="17" fillId="11" borderId="25" xfId="26" applyFont="1" applyFill="1" applyBorder="1" applyAlignment="1">
      <alignment horizontal="left" wrapText="1"/>
      <protection/>
    </xf>
    <xf numFmtId="0" fontId="17" fillId="11" borderId="24" xfId="26" applyFont="1" applyFill="1" applyBorder="1" applyAlignment="1">
      <alignment wrapText="1"/>
      <protection/>
    </xf>
    <xf numFmtId="0" fontId="17" fillId="11" borderId="25" xfId="26" applyFont="1" applyFill="1" applyBorder="1" applyAlignment="1">
      <alignment wrapText="1"/>
      <protection/>
    </xf>
    <xf numFmtId="1" fontId="17" fillId="11" borderId="29" xfId="26" applyNumberFormat="1" applyFont="1" applyFill="1" applyBorder="1" applyAlignment="1">
      <alignment wrapText="1"/>
      <protection/>
    </xf>
    <xf numFmtId="0" fontId="17" fillId="11" borderId="3" xfId="24" applyFont="1" applyFill="1" applyBorder="1" applyAlignment="1">
      <alignment horizontal="center"/>
      <protection/>
    </xf>
    <xf numFmtId="0" fontId="0" fillId="0" borderId="3" xfId="25" applyFont="1" applyFill="1" applyBorder="1" applyAlignment="1" applyProtection="1">
      <alignment horizontal="left"/>
      <protection/>
    </xf>
    <xf numFmtId="177" fontId="0" fillId="0" borderId="3" xfId="26" applyNumberFormat="1" applyFont="1" applyFill="1" applyBorder="1" applyAlignment="1" applyProtection="1" quotePrefix="1">
      <alignment horizontal="center"/>
      <protection/>
    </xf>
    <xf numFmtId="0" fontId="0" fillId="0" borderId="3" xfId="25" applyFont="1" applyFill="1" applyBorder="1">
      <alignment/>
      <protection/>
    </xf>
    <xf numFmtId="169" fontId="0" fillId="0" borderId="3" xfId="15" applyNumberFormat="1" applyFont="1" applyFill="1" applyBorder="1" applyAlignment="1" applyProtection="1" quotePrefix="1">
      <alignment horizontal="center"/>
      <protection/>
    </xf>
    <xf numFmtId="1" fontId="17" fillId="11" borderId="3" xfId="24" applyNumberFormat="1" applyFont="1" applyFill="1" applyBorder="1" applyAlignment="1">
      <alignment horizontal="center"/>
      <protection/>
    </xf>
    <xf numFmtId="169" fontId="0" fillId="0" borderId="4" xfId="15" applyNumberFormat="1" applyFont="1" applyBorder="1" applyAlignment="1">
      <alignment horizontal="left"/>
    </xf>
    <xf numFmtId="9" fontId="0" fillId="0" borderId="4" xfId="35" applyFont="1" applyBorder="1" applyAlignment="1">
      <alignment/>
    </xf>
    <xf numFmtId="2" fontId="0" fillId="0" borderId="4" xfId="26" applyNumberFormat="1" applyFont="1" applyBorder="1">
      <alignment/>
      <protection/>
    </xf>
    <xf numFmtId="169" fontId="0" fillId="0" borderId="4" xfId="15" applyNumberFormat="1" applyFont="1" applyBorder="1" applyAlignment="1">
      <alignment/>
    </xf>
    <xf numFmtId="169" fontId="0" fillId="3" borderId="16" xfId="15" applyNumberFormat="1" applyFont="1" applyFill="1" applyBorder="1" applyAlignment="1">
      <alignment horizontal="left"/>
    </xf>
    <xf numFmtId="0" fontId="0" fillId="3" borderId="30" xfId="26" applyFont="1" applyFill="1" applyBorder="1">
      <alignment/>
      <protection/>
    </xf>
    <xf numFmtId="1" fontId="0" fillId="3" borderId="30" xfId="26" applyNumberFormat="1" applyFont="1" applyFill="1" applyBorder="1">
      <alignment/>
      <protection/>
    </xf>
    <xf numFmtId="169" fontId="0" fillId="3" borderId="30" xfId="15" applyNumberFormat="1" applyFont="1" applyFill="1" applyBorder="1" applyAlignment="1">
      <alignment/>
    </xf>
    <xf numFmtId="169" fontId="0" fillId="3" borderId="26" xfId="15" applyNumberFormat="1" applyFont="1" applyFill="1" applyBorder="1" applyAlignment="1">
      <alignment/>
    </xf>
    <xf numFmtId="169" fontId="0" fillId="3" borderId="59" xfId="15" applyNumberFormat="1" applyFont="1" applyFill="1" applyBorder="1" applyAlignment="1">
      <alignment/>
    </xf>
    <xf numFmtId="1" fontId="0" fillId="3" borderId="16" xfId="26" applyNumberFormat="1" applyFont="1" applyFill="1" applyBorder="1">
      <alignment/>
      <protection/>
    </xf>
    <xf numFmtId="1" fontId="0" fillId="18" borderId="48" xfId="0" applyNumberFormat="1" applyFill="1" applyBorder="1" applyAlignment="1">
      <alignment/>
    </xf>
    <xf numFmtId="1" fontId="0" fillId="18" borderId="42" xfId="26" applyNumberFormat="1" applyFont="1" applyFill="1" applyBorder="1">
      <alignment/>
      <protection/>
    </xf>
    <xf numFmtId="1" fontId="0" fillId="18" borderId="4" xfId="0" applyNumberFormat="1" applyFill="1" applyBorder="1" applyAlignment="1">
      <alignment/>
    </xf>
    <xf numFmtId="0" fontId="0" fillId="0" borderId="27" xfId="25" applyFont="1" applyFill="1" applyBorder="1" applyAlignment="1" applyProtection="1" quotePrefix="1">
      <alignment horizontal="left"/>
      <protection/>
    </xf>
    <xf numFmtId="168" fontId="0" fillId="0" borderId="3" xfId="17" applyNumberFormat="1" applyBorder="1" applyAlignment="1">
      <alignment/>
    </xf>
    <xf numFmtId="168" fontId="0" fillId="0" borderId="48" xfId="17" applyNumberFormat="1" applyBorder="1" applyAlignment="1">
      <alignment/>
    </xf>
    <xf numFmtId="168" fontId="0" fillId="0" borderId="36" xfId="17" applyNumberFormat="1" applyBorder="1" applyAlignment="1">
      <alignment/>
    </xf>
    <xf numFmtId="0" fontId="0" fillId="0" borderId="4" xfId="26" applyFont="1" applyBorder="1" applyAlignment="1" quotePrefix="1">
      <alignment horizontal="left"/>
      <protection/>
    </xf>
    <xf numFmtId="180" fontId="0" fillId="0" borderId="0" xfId="26" applyNumberFormat="1" applyFont="1">
      <alignment/>
      <protection/>
    </xf>
    <xf numFmtId="166" fontId="0" fillId="0" borderId="3" xfId="26" applyNumberFormat="1" applyFont="1" applyBorder="1" applyAlignment="1" applyProtection="1" quotePrefix="1">
      <alignment horizontal="left"/>
      <protection/>
    </xf>
    <xf numFmtId="168" fontId="17" fillId="12" borderId="38" xfId="17" applyNumberFormat="1" applyFont="1" applyFill="1" applyBorder="1" applyAlignment="1">
      <alignment horizontal="center"/>
    </xf>
    <xf numFmtId="168" fontId="17" fillId="12" borderId="15" xfId="17" applyNumberFormat="1" applyFont="1" applyFill="1" applyBorder="1" applyAlignment="1">
      <alignment horizontal="center"/>
    </xf>
    <xf numFmtId="168" fontId="0" fillId="0" borderId="8" xfId="17" applyNumberFormat="1" applyFont="1" applyBorder="1" applyAlignment="1">
      <alignment/>
    </xf>
    <xf numFmtId="168" fontId="0" fillId="0" borderId="5" xfId="17" applyNumberFormat="1" applyFont="1" applyBorder="1" applyAlignment="1">
      <alignment/>
    </xf>
    <xf numFmtId="2" fontId="0" fillId="0" borderId="7" xfId="25" applyNumberFormat="1" applyFont="1" applyBorder="1">
      <alignment/>
      <protection/>
    </xf>
    <xf numFmtId="2" fontId="0" fillId="0" borderId="46" xfId="25" applyNumberFormat="1" applyFont="1" applyBorder="1">
      <alignment/>
      <protection/>
    </xf>
    <xf numFmtId="0" fontId="0" fillId="0" borderId="28" xfId="25" applyFont="1" applyBorder="1" applyAlignment="1" applyProtection="1" quotePrefix="1">
      <alignment horizontal="left"/>
      <protection/>
    </xf>
    <xf numFmtId="168" fontId="17" fillId="11" borderId="13" xfId="17" applyNumberFormat="1" applyFont="1" applyFill="1" applyBorder="1" applyAlignment="1">
      <alignment horizontal="right"/>
    </xf>
    <xf numFmtId="168" fontId="0" fillId="0" borderId="55" xfId="17" applyNumberFormat="1" applyFont="1" applyBorder="1" applyAlignment="1">
      <alignment/>
    </xf>
    <xf numFmtId="168" fontId="0" fillId="16" borderId="56" xfId="17" applyNumberFormat="1" applyFont="1" applyFill="1" applyBorder="1" applyAlignment="1">
      <alignment/>
    </xf>
    <xf numFmtId="168" fontId="0" fillId="16" borderId="5" xfId="17" applyNumberFormat="1" applyFont="1" applyFill="1" applyBorder="1" applyAlignment="1">
      <alignment/>
    </xf>
    <xf numFmtId="168" fontId="0" fillId="0" borderId="56" xfId="17" applyNumberFormat="1" applyFont="1" applyBorder="1" applyAlignment="1">
      <alignment/>
    </xf>
    <xf numFmtId="168" fontId="0" fillId="0" borderId="1" xfId="17" applyNumberFormat="1" applyFont="1" applyBorder="1" applyAlignment="1">
      <alignment/>
    </xf>
    <xf numFmtId="168" fontId="0" fillId="16" borderId="8" xfId="17" applyNumberFormat="1" applyFont="1" applyFill="1" applyBorder="1" applyAlignment="1">
      <alignment/>
    </xf>
    <xf numFmtId="168" fontId="0" fillId="0" borderId="60" xfId="17" applyNumberFormat="1" applyFont="1" applyBorder="1" applyAlignment="1">
      <alignment/>
    </xf>
    <xf numFmtId="168" fontId="17" fillId="11" borderId="43" xfId="17" applyNumberFormat="1" applyFont="1" applyFill="1" applyBorder="1" applyAlignment="1">
      <alignment horizontal="right"/>
    </xf>
    <xf numFmtId="168" fontId="17" fillId="11" borderId="45" xfId="17" applyNumberFormat="1" applyFont="1" applyFill="1" applyBorder="1" applyAlignment="1">
      <alignment horizontal="right"/>
    </xf>
    <xf numFmtId="168" fontId="0" fillId="0" borderId="31" xfId="17" applyNumberFormat="1" applyFont="1" applyBorder="1" applyAlignment="1">
      <alignment/>
    </xf>
    <xf numFmtId="168" fontId="17" fillId="11" borderId="53" xfId="17" applyNumberFormat="1" applyFont="1" applyFill="1" applyBorder="1" applyAlignment="1">
      <alignment horizontal="right"/>
    </xf>
    <xf numFmtId="166" fontId="0" fillId="0" borderId="4" xfId="25" applyNumberFormat="1" applyFont="1" applyBorder="1">
      <alignment/>
      <protection/>
    </xf>
    <xf numFmtId="0" fontId="0" fillId="0" borderId="27" xfId="25" applyFont="1" applyBorder="1" applyAlignment="1" applyProtection="1">
      <alignment horizontal="left"/>
      <protection/>
    </xf>
    <xf numFmtId="2" fontId="0" fillId="0" borderId="27" xfId="28" applyNumberFormat="1" applyFont="1" applyBorder="1">
      <alignment/>
      <protection/>
    </xf>
    <xf numFmtId="0" fontId="17" fillId="3" borderId="50" xfId="26" applyFont="1" applyFill="1" applyBorder="1" applyAlignment="1" quotePrefix="1">
      <alignment horizontal="left"/>
      <protection/>
    </xf>
    <xf numFmtId="165" fontId="17" fillId="3" borderId="44" xfId="26" applyNumberFormat="1" applyFont="1" applyFill="1" applyBorder="1">
      <alignment/>
      <protection/>
    </xf>
    <xf numFmtId="165" fontId="17" fillId="3" borderId="61" xfId="26" applyNumberFormat="1" applyFont="1" applyFill="1" applyBorder="1">
      <alignment/>
      <protection/>
    </xf>
    <xf numFmtId="169" fontId="17" fillId="3" borderId="16" xfId="15" applyNumberFormat="1" applyFont="1" applyFill="1" applyBorder="1" applyAlignment="1" quotePrefix="1">
      <alignment horizontal="left"/>
    </xf>
    <xf numFmtId="169" fontId="17" fillId="3" borderId="30" xfId="15" applyNumberFormat="1" applyFont="1" applyFill="1" applyBorder="1" applyAlignment="1">
      <alignment/>
    </xf>
    <xf numFmtId="169" fontId="17" fillId="3" borderId="26" xfId="15" applyNumberFormat="1" applyFont="1" applyFill="1" applyBorder="1" applyAlignment="1">
      <alignment/>
    </xf>
    <xf numFmtId="0" fontId="0" fillId="18" borderId="47" xfId="0" applyFill="1" applyBorder="1" applyAlignment="1">
      <alignment/>
    </xf>
    <xf numFmtId="0" fontId="0" fillId="18" borderId="28" xfId="0" applyFill="1" applyBorder="1" applyAlignment="1">
      <alignment/>
    </xf>
    <xf numFmtId="1" fontId="0" fillId="18" borderId="34" xfId="0" applyNumberFormat="1" applyFill="1" applyBorder="1" applyAlignment="1">
      <alignment/>
    </xf>
    <xf numFmtId="1" fontId="0" fillId="0" borderId="42" xfId="26" applyNumberFormat="1" applyFont="1" applyBorder="1">
      <alignment/>
      <protection/>
    </xf>
    <xf numFmtId="0" fontId="17" fillId="3" borderId="16" xfId="26" applyFont="1" applyFill="1" applyBorder="1" applyAlignment="1">
      <alignment wrapText="1"/>
      <protection/>
    </xf>
    <xf numFmtId="1" fontId="0" fillId="0" borderId="46" xfId="0" applyNumberFormat="1" applyFont="1" applyBorder="1" applyAlignment="1">
      <alignment/>
    </xf>
    <xf numFmtId="0" fontId="17" fillId="12" borderId="12" xfId="26" applyFont="1" applyFill="1" applyBorder="1">
      <alignment/>
      <protection/>
    </xf>
    <xf numFmtId="168" fontId="17" fillId="12" borderId="13" xfId="17" applyNumberFormat="1" applyFont="1" applyFill="1" applyBorder="1" applyAlignment="1">
      <alignment/>
    </xf>
    <xf numFmtId="168" fontId="17" fillId="11" borderId="5" xfId="17" applyNumberFormat="1" applyFont="1" applyFill="1" applyBorder="1" applyAlignment="1">
      <alignment horizontal="right"/>
    </xf>
    <xf numFmtId="0" fontId="0" fillId="11" borderId="3" xfId="26" applyFont="1" applyFill="1" applyBorder="1">
      <alignment/>
      <protection/>
    </xf>
    <xf numFmtId="9" fontId="0" fillId="11" borderId="3" xfId="26" applyNumberFormat="1" applyFont="1" applyFill="1" applyBorder="1">
      <alignment/>
      <protection/>
    </xf>
    <xf numFmtId="9" fontId="0" fillId="11" borderId="3" xfId="0" applyNumberFormat="1" applyFont="1" applyFill="1" applyBorder="1" applyAlignment="1">
      <alignment/>
    </xf>
    <xf numFmtId="2" fontId="0" fillId="11" borderId="16" xfId="26" applyNumberFormat="1" applyFont="1" applyFill="1" applyBorder="1" applyAlignment="1" applyProtection="1">
      <alignment horizontal="left"/>
      <protection/>
    </xf>
    <xf numFmtId="2" fontId="0" fillId="0" borderId="57" xfId="25" applyNumberFormat="1" applyFont="1" applyBorder="1">
      <alignment/>
      <protection/>
    </xf>
    <xf numFmtId="0" fontId="0" fillId="12" borderId="16" xfId="0" applyFill="1" applyBorder="1" applyAlignment="1">
      <alignment/>
    </xf>
    <xf numFmtId="1" fontId="0" fillId="12" borderId="30" xfId="0" applyNumberFormat="1" applyFill="1" applyBorder="1" applyAlignment="1">
      <alignment/>
    </xf>
    <xf numFmtId="1" fontId="0" fillId="12" borderId="26" xfId="0" applyNumberFormat="1" applyFill="1" applyBorder="1" applyAlignment="1">
      <alignment/>
    </xf>
    <xf numFmtId="0" fontId="0" fillId="12" borderId="27" xfId="26" applyFont="1" applyFill="1" applyBorder="1">
      <alignment/>
      <protection/>
    </xf>
    <xf numFmtId="1" fontId="0" fillId="12" borderId="3" xfId="26" applyNumberFormat="1" applyFont="1" applyFill="1" applyBorder="1">
      <alignment/>
      <protection/>
    </xf>
    <xf numFmtId="1" fontId="0" fillId="12" borderId="33" xfId="26" applyNumberFormat="1" applyFont="1" applyFill="1" applyBorder="1">
      <alignment/>
      <protection/>
    </xf>
    <xf numFmtId="168" fontId="0" fillId="0" borderId="0" xfId="17" applyNumberFormat="1" applyFont="1" applyAlignment="1">
      <alignment/>
    </xf>
    <xf numFmtId="168" fontId="0" fillId="0" borderId="32" xfId="17" applyNumberFormat="1" applyFont="1" applyBorder="1" applyAlignment="1">
      <alignment/>
    </xf>
    <xf numFmtId="0" fontId="17" fillId="0" borderId="12" xfId="0" applyFont="1" applyBorder="1" applyAlignment="1">
      <alignment horizontal="center"/>
    </xf>
    <xf numFmtId="0" fontId="17" fillId="11" borderId="7" xfId="26" applyFont="1" applyFill="1" applyBorder="1">
      <alignment/>
      <protection/>
    </xf>
    <xf numFmtId="0" fontId="17" fillId="0" borderId="13" xfId="0" applyFont="1" applyBorder="1" applyAlignment="1">
      <alignment/>
    </xf>
    <xf numFmtId="0" fontId="17" fillId="0" borderId="38" xfId="0" applyFont="1" applyBorder="1" applyAlignment="1">
      <alignment horizontal="center"/>
    </xf>
    <xf numFmtId="3" fontId="0" fillId="0" borderId="3" xfId="17" applyNumberFormat="1" applyBorder="1" applyAlignment="1">
      <alignment/>
    </xf>
    <xf numFmtId="3" fontId="0" fillId="0" borderId="36" xfId="17" applyNumberFormat="1" applyBorder="1" applyAlignment="1">
      <alignment/>
    </xf>
    <xf numFmtId="3" fontId="17" fillId="12" borderId="13" xfId="17" applyNumberFormat="1" applyFont="1" applyFill="1" applyBorder="1" applyAlignment="1">
      <alignment/>
    </xf>
    <xf numFmtId="9" fontId="0" fillId="11" borderId="7" xfId="26" applyNumberFormat="1" applyFont="1" applyFill="1" applyBorder="1">
      <alignment/>
      <protection/>
    </xf>
    <xf numFmtId="3" fontId="17" fillId="11" borderId="33" xfId="17" applyNumberFormat="1" applyFont="1" applyFill="1" applyBorder="1" applyAlignment="1">
      <alignment horizontal="right"/>
    </xf>
    <xf numFmtId="3" fontId="17" fillId="11" borderId="37" xfId="17" applyNumberFormat="1" applyFont="1" applyFill="1" applyBorder="1" applyAlignment="1">
      <alignment horizontal="right"/>
    </xf>
    <xf numFmtId="0" fontId="0" fillId="0" borderId="31" xfId="25" applyFont="1" applyBorder="1" applyAlignment="1" applyProtection="1" quotePrefix="1">
      <alignment horizontal="left"/>
      <protection/>
    </xf>
    <xf numFmtId="3" fontId="0" fillId="0" borderId="9" xfId="17" applyNumberFormat="1" applyBorder="1" applyAlignment="1">
      <alignment/>
    </xf>
    <xf numFmtId="3" fontId="17" fillId="11" borderId="32" xfId="17" applyNumberFormat="1" applyFont="1" applyFill="1" applyBorder="1" applyAlignment="1">
      <alignment horizontal="right"/>
    </xf>
    <xf numFmtId="0" fontId="17" fillId="12" borderId="62" xfId="26" applyFont="1" applyFill="1" applyBorder="1">
      <alignment/>
      <protection/>
    </xf>
    <xf numFmtId="3" fontId="17" fillId="12" borderId="51" xfId="17" applyNumberFormat="1" applyFont="1" applyFill="1" applyBorder="1" applyAlignment="1">
      <alignment/>
    </xf>
    <xf numFmtId="9" fontId="0" fillId="11" borderId="63" xfId="26" applyNumberFormat="1" applyFont="1" applyFill="1" applyBorder="1">
      <alignment/>
      <protection/>
    </xf>
    <xf numFmtId="9" fontId="0" fillId="11" borderId="64" xfId="26" applyNumberFormat="1" applyFont="1" applyFill="1" applyBorder="1">
      <alignment/>
      <protection/>
    </xf>
    <xf numFmtId="0" fontId="17" fillId="19" borderId="62" xfId="0" applyFont="1" applyFill="1" applyBorder="1" applyAlignment="1">
      <alignment horizontal="center"/>
    </xf>
    <xf numFmtId="0" fontId="17" fillId="19" borderId="50" xfId="25" applyFont="1" applyFill="1" applyBorder="1" applyAlignment="1">
      <alignment horizontal="right"/>
      <protection/>
    </xf>
    <xf numFmtId="1" fontId="17" fillId="19" borderId="51" xfId="25" applyNumberFormat="1" applyFont="1" applyFill="1" applyBorder="1" applyAlignment="1">
      <alignment horizontal="right"/>
      <protection/>
    </xf>
    <xf numFmtId="0" fontId="17" fillId="19" borderId="65" xfId="26" applyFont="1" applyFill="1" applyBorder="1">
      <alignment/>
      <protection/>
    </xf>
    <xf numFmtId="0" fontId="0" fillId="19" borderId="10" xfId="26" applyFont="1" applyFill="1" applyBorder="1">
      <alignment/>
      <protection/>
    </xf>
    <xf numFmtId="0" fontId="0" fillId="19" borderId="11" xfId="0" applyFont="1" applyFill="1" applyBorder="1" applyAlignment="1">
      <alignment/>
    </xf>
    <xf numFmtId="0" fontId="0" fillId="0" borderId="66" xfId="0" applyFont="1" applyBorder="1" applyAlignment="1">
      <alignment/>
    </xf>
    <xf numFmtId="168" fontId="17" fillId="11" borderId="8" xfId="17" applyNumberFormat="1" applyFont="1" applyFill="1" applyBorder="1" applyAlignment="1">
      <alignment horizontal="right"/>
    </xf>
    <xf numFmtId="177" fontId="0" fillId="0" borderId="3" xfId="34" applyNumberFormat="1" applyFont="1" applyBorder="1" applyAlignment="1" applyProtection="1">
      <alignment horizontal="left"/>
      <protection/>
    </xf>
    <xf numFmtId="165" fontId="0" fillId="0" borderId="3" xfId="30" applyNumberFormat="1" applyFont="1" applyBorder="1">
      <alignment/>
      <protection/>
    </xf>
    <xf numFmtId="1" fontId="0" fillId="0" borderId="3" xfId="30" applyNumberFormat="1" applyBorder="1">
      <alignment/>
      <protection/>
    </xf>
    <xf numFmtId="168" fontId="0" fillId="0" borderId="3" xfId="17" applyNumberFormat="1" applyBorder="1" applyAlignment="1">
      <alignment/>
    </xf>
    <xf numFmtId="2" fontId="0" fillId="0" borderId="3" xfId="30" applyNumberFormat="1" applyBorder="1">
      <alignment/>
      <protection/>
    </xf>
    <xf numFmtId="169" fontId="17" fillId="0" borderId="0" xfId="15" applyNumberFormat="1" applyFont="1" applyBorder="1" applyAlignment="1">
      <alignment/>
    </xf>
    <xf numFmtId="9" fontId="17" fillId="0" borderId="0" xfId="35" applyFont="1" applyBorder="1" applyAlignment="1">
      <alignment/>
    </xf>
    <xf numFmtId="1" fontId="17" fillId="0" borderId="67" xfId="34" applyNumberFormat="1" applyFont="1" applyFill="1" applyBorder="1" applyAlignment="1">
      <alignment horizontal="left"/>
      <protection/>
    </xf>
    <xf numFmtId="1" fontId="17" fillId="0" borderId="68" xfId="34" applyNumberFormat="1" applyFont="1" applyFill="1" applyBorder="1" applyAlignment="1">
      <alignment horizontal="left" wrapText="1"/>
      <protection/>
    </xf>
    <xf numFmtId="1" fontId="17" fillId="0" borderId="69" xfId="34" applyNumberFormat="1" applyFont="1" applyFill="1" applyBorder="1" applyAlignment="1">
      <alignment horizontal="left" wrapText="1"/>
      <protection/>
    </xf>
    <xf numFmtId="169" fontId="17" fillId="0" borderId="13" xfId="15" applyNumberFormat="1" applyFont="1" applyBorder="1" applyAlignment="1">
      <alignment/>
    </xf>
    <xf numFmtId="1" fontId="17" fillId="0" borderId="16" xfId="0" applyNumberFormat="1" applyFont="1" applyBorder="1" applyAlignment="1">
      <alignment/>
    </xf>
    <xf numFmtId="168" fontId="17" fillId="0" borderId="67" xfId="17" applyNumberFormat="1" applyFont="1" applyBorder="1" applyAlignment="1">
      <alignment/>
    </xf>
    <xf numFmtId="169" fontId="17" fillId="0" borderId="49" xfId="15" applyNumberFormat="1" applyFont="1" applyFill="1" applyBorder="1" applyAlignment="1">
      <alignment/>
    </xf>
    <xf numFmtId="1" fontId="17" fillId="0" borderId="67" xfId="0" applyNumberFormat="1" applyFont="1" applyFill="1" applyBorder="1" applyAlignment="1">
      <alignment/>
    </xf>
    <xf numFmtId="169" fontId="17" fillId="0" borderId="70" xfId="15" applyNumberFormat="1" applyFont="1" applyFill="1" applyBorder="1" applyAlignment="1">
      <alignment/>
    </xf>
    <xf numFmtId="168" fontId="17" fillId="0" borderId="16" xfId="17" applyNumberFormat="1" applyFont="1" applyFill="1" applyBorder="1" applyAlignment="1">
      <alignment/>
    </xf>
    <xf numFmtId="168" fontId="17" fillId="0" borderId="11" xfId="17" applyNumberFormat="1" applyFont="1" applyFill="1" applyBorder="1" applyAlignment="1">
      <alignment/>
    </xf>
    <xf numFmtId="168" fontId="17" fillId="12" borderId="13" xfId="0" applyNumberFormat="1" applyFont="1" applyFill="1" applyBorder="1" applyAlignment="1">
      <alignment/>
    </xf>
    <xf numFmtId="0" fontId="17" fillId="12" borderId="16" xfId="0" applyFont="1" applyFill="1" applyBorder="1" applyAlignment="1">
      <alignment horizontal="right"/>
    </xf>
    <xf numFmtId="0" fontId="17" fillId="0" borderId="0" xfId="26" applyFont="1" applyFill="1" applyBorder="1">
      <alignment/>
      <protection/>
    </xf>
    <xf numFmtId="43" fontId="0" fillId="0" borderId="3" xfId="15" applyNumberFormat="1" applyBorder="1" applyAlignment="1">
      <alignment/>
    </xf>
    <xf numFmtId="43" fontId="0" fillId="11" borderId="3" xfId="0" applyNumberFormat="1" applyFill="1" applyBorder="1" applyAlignment="1">
      <alignment/>
    </xf>
    <xf numFmtId="43" fontId="0" fillId="11" borderId="3" xfId="15" applyNumberFormat="1" applyFill="1" applyBorder="1" applyAlignment="1">
      <alignment/>
    </xf>
    <xf numFmtId="169" fontId="0" fillId="0" borderId="3" xfId="15" applyNumberFormat="1" applyBorder="1" applyAlignment="1">
      <alignment/>
    </xf>
    <xf numFmtId="1" fontId="0" fillId="0" borderId="27" xfId="0" applyNumberFormat="1" applyFont="1" applyFill="1" applyBorder="1" applyAlignment="1">
      <alignment/>
    </xf>
    <xf numFmtId="1" fontId="0" fillId="0" borderId="3" xfId="0" applyNumberFormat="1" applyFont="1" applyFill="1" applyBorder="1" applyAlignment="1">
      <alignment/>
    </xf>
    <xf numFmtId="1" fontId="0" fillId="0" borderId="33" xfId="0" applyNumberFormat="1" applyFont="1" applyFill="1" applyBorder="1" applyAlignment="1">
      <alignment/>
    </xf>
    <xf numFmtId="2" fontId="0" fillId="0" borderId="27" xfId="0" applyNumberFormat="1" applyFont="1" applyFill="1" applyBorder="1" applyAlignment="1">
      <alignment/>
    </xf>
    <xf numFmtId="166" fontId="0" fillId="0" borderId="27" xfId="0" applyNumberFormat="1" applyFont="1" applyFill="1" applyBorder="1" applyAlignment="1">
      <alignment/>
    </xf>
    <xf numFmtId="2" fontId="0" fillId="0" borderId="3" xfId="0" applyNumberFormat="1" applyFont="1" applyFill="1" applyBorder="1" applyAlignment="1">
      <alignment/>
    </xf>
    <xf numFmtId="166" fontId="0" fillId="0" borderId="3" xfId="0" applyNumberFormat="1" applyFont="1" applyFill="1" applyBorder="1" applyAlignment="1">
      <alignment/>
    </xf>
    <xf numFmtId="2" fontId="0" fillId="0" borderId="33" xfId="0" applyNumberFormat="1" applyFont="1" applyFill="1" applyBorder="1" applyAlignment="1">
      <alignment/>
    </xf>
    <xf numFmtId="166" fontId="0" fillId="0" borderId="33" xfId="0" applyNumberFormat="1" applyFont="1" applyFill="1" applyBorder="1" applyAlignment="1">
      <alignment/>
    </xf>
    <xf numFmtId="1" fontId="0" fillId="0" borderId="31" xfId="0" applyNumberFormat="1" applyFont="1" applyFill="1" applyBorder="1" applyAlignment="1">
      <alignment/>
    </xf>
    <xf numFmtId="1" fontId="0" fillId="0" borderId="9" xfId="0" applyNumberFormat="1" applyFont="1" applyFill="1" applyBorder="1" applyAlignment="1">
      <alignment/>
    </xf>
    <xf numFmtId="1" fontId="0" fillId="0" borderId="32" xfId="0" applyNumberFormat="1" applyFont="1" applyFill="1" applyBorder="1" applyAlignment="1">
      <alignment/>
    </xf>
    <xf numFmtId="0" fontId="0" fillId="11" borderId="12" xfId="0" applyFill="1" applyBorder="1" applyAlignment="1">
      <alignment/>
    </xf>
    <xf numFmtId="0" fontId="0" fillId="11" borderId="16" xfId="0" applyFill="1" applyBorder="1" applyAlignment="1">
      <alignment/>
    </xf>
    <xf numFmtId="0" fontId="0" fillId="11" borderId="30" xfId="0" applyFill="1" applyBorder="1" applyAlignment="1">
      <alignment/>
    </xf>
    <xf numFmtId="0" fontId="0" fillId="11" borderId="26" xfId="0" applyFill="1" applyBorder="1" applyAlignment="1">
      <alignment/>
    </xf>
    <xf numFmtId="169" fontId="0" fillId="12" borderId="35" xfId="15" applyNumberFormat="1" applyFont="1" applyFill="1" applyBorder="1" applyAlignment="1">
      <alignment/>
    </xf>
    <xf numFmtId="169" fontId="0" fillId="12" borderId="36" xfId="15" applyNumberFormat="1" applyFont="1" applyFill="1" applyBorder="1" applyAlignment="1">
      <alignment/>
    </xf>
    <xf numFmtId="169" fontId="0" fillId="12" borderId="37" xfId="15" applyNumberFormat="1" applyFont="1" applyFill="1" applyBorder="1" applyAlignment="1">
      <alignment/>
    </xf>
    <xf numFmtId="178" fontId="0" fillId="0" borderId="3" xfId="15" applyNumberFormat="1" applyBorder="1" applyAlignment="1">
      <alignment/>
    </xf>
    <xf numFmtId="0" fontId="17" fillId="11" borderId="71" xfId="26" applyFont="1" applyFill="1" applyBorder="1" applyAlignment="1" quotePrefix="1">
      <alignment horizontal="center"/>
      <protection/>
    </xf>
    <xf numFmtId="0" fontId="17" fillId="11" borderId="10" xfId="26" applyFont="1" applyFill="1" applyBorder="1" applyAlignment="1">
      <alignment horizontal="center"/>
      <protection/>
    </xf>
    <xf numFmtId="0" fontId="17" fillId="11" borderId="11" xfId="26" applyFont="1" applyFill="1" applyBorder="1" applyAlignment="1">
      <alignment horizontal="center"/>
      <protection/>
    </xf>
    <xf numFmtId="0" fontId="17" fillId="13" borderId="19" xfId="26" applyFont="1" applyFill="1" applyBorder="1" applyAlignment="1">
      <alignment horizontal="center" wrapText="1"/>
      <protection/>
    </xf>
    <xf numFmtId="0" fontId="17" fillId="13" borderId="51" xfId="26" applyFont="1" applyFill="1" applyBorder="1" applyAlignment="1">
      <alignment horizontal="center" wrapText="1"/>
      <protection/>
    </xf>
    <xf numFmtId="0" fontId="17" fillId="11" borderId="38" xfId="26" applyFont="1" applyFill="1" applyBorder="1" applyAlignment="1">
      <alignment horizontal="center"/>
      <protection/>
    </xf>
    <xf numFmtId="0" fontId="17" fillId="11" borderId="14" xfId="26" applyFont="1" applyFill="1" applyBorder="1" applyAlignment="1" quotePrefix="1">
      <alignment horizontal="center"/>
      <protection/>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9"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0" borderId="12" xfId="26" applyFont="1" applyBorder="1" applyAlignment="1">
      <alignment horizontal="center"/>
      <protection/>
    </xf>
    <xf numFmtId="0" fontId="17" fillId="0" borderId="10" xfId="26" applyFont="1" applyBorder="1" applyAlignment="1">
      <alignment horizontal="center"/>
      <protection/>
    </xf>
    <xf numFmtId="0" fontId="17" fillId="0" borderId="11" xfId="26" applyFont="1" applyBorder="1" applyAlignment="1">
      <alignment horizontal="center"/>
      <protection/>
    </xf>
    <xf numFmtId="0" fontId="17" fillId="19" borderId="12" xfId="26" applyFont="1" applyFill="1" applyBorder="1" applyAlignment="1">
      <alignment horizontal="center"/>
      <protection/>
    </xf>
    <xf numFmtId="0" fontId="17" fillId="19" borderId="10" xfId="26" applyFont="1" applyFill="1" applyBorder="1" applyAlignment="1">
      <alignment horizontal="center"/>
      <protection/>
    </xf>
    <xf numFmtId="0" fontId="17" fillId="19" borderId="11" xfId="26" applyFont="1" applyFill="1" applyBorder="1" applyAlignment="1">
      <alignment horizontal="center"/>
      <protection/>
    </xf>
    <xf numFmtId="0" fontId="17" fillId="0" borderId="1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11" borderId="62" xfId="24" applyFont="1" applyFill="1" applyBorder="1" applyAlignment="1">
      <alignment horizontal="center"/>
      <protection/>
    </xf>
    <xf numFmtId="0" fontId="17" fillId="11" borderId="72" xfId="24" applyFont="1" applyFill="1" applyBorder="1" applyAlignment="1">
      <alignment horizontal="center"/>
      <protection/>
    </xf>
    <xf numFmtId="0" fontId="17" fillId="11" borderId="12" xfId="26" applyFont="1" applyFill="1" applyBorder="1" applyAlignment="1">
      <alignment horizontal="center"/>
      <protection/>
    </xf>
    <xf numFmtId="0" fontId="17" fillId="11" borderId="38" xfId="26" applyFont="1" applyFill="1" applyBorder="1" applyAlignment="1" quotePrefix="1">
      <alignment horizontal="center"/>
      <protection/>
    </xf>
    <xf numFmtId="0" fontId="17" fillId="11" borderId="12" xfId="24" applyFont="1" applyFill="1" applyBorder="1" applyAlignment="1">
      <alignment horizontal="center"/>
      <protection/>
    </xf>
    <xf numFmtId="0" fontId="17" fillId="11" borderId="11" xfId="24" applyFont="1" applyFill="1" applyBorder="1" applyAlignment="1">
      <alignment horizontal="center"/>
      <protection/>
    </xf>
    <xf numFmtId="0" fontId="17" fillId="11" borderId="10" xfId="24" applyFont="1" applyFill="1" applyBorder="1" applyAlignment="1">
      <alignment horizontal="center"/>
      <protection/>
    </xf>
    <xf numFmtId="0" fontId="17" fillId="12" borderId="12" xfId="0" applyFont="1" applyFill="1" applyBorder="1" applyAlignment="1">
      <alignment horizontal="center"/>
    </xf>
    <xf numFmtId="0" fontId="17" fillId="12" borderId="10" xfId="0" applyFont="1" applyFill="1" applyBorder="1" applyAlignment="1">
      <alignment horizontal="center"/>
    </xf>
    <xf numFmtId="0" fontId="17" fillId="12" borderId="11" xfId="0" applyFont="1" applyFill="1" applyBorder="1" applyAlignment="1">
      <alignment horizontal="center"/>
    </xf>
    <xf numFmtId="1" fontId="17" fillId="14" borderId="69" xfId="0" applyNumberFormat="1" applyFont="1" applyFill="1" applyBorder="1" applyAlignment="1">
      <alignment horizontal="center" wrapText="1"/>
    </xf>
    <xf numFmtId="0" fontId="17" fillId="14" borderId="49" xfId="0" applyFont="1" applyFill="1" applyBorder="1" applyAlignment="1">
      <alignment horizontal="center" wrapText="1"/>
    </xf>
    <xf numFmtId="1" fontId="17" fillId="14" borderId="38" xfId="0" applyNumberFormat="1" applyFont="1" applyFill="1" applyBorder="1" applyAlignment="1">
      <alignment horizontal="center" wrapText="1"/>
    </xf>
    <xf numFmtId="0" fontId="17" fillId="14" borderId="15" xfId="0" applyFont="1" applyFill="1" applyBorder="1" applyAlignment="1">
      <alignment horizontal="center" wrapText="1"/>
    </xf>
    <xf numFmtId="0" fontId="17" fillId="15" borderId="12" xfId="0" applyFont="1" applyFill="1" applyBorder="1" applyAlignment="1">
      <alignment horizontal="center" wrapText="1"/>
    </xf>
    <xf numFmtId="0" fontId="17" fillId="15" borderId="10" xfId="0" applyFont="1" applyFill="1" applyBorder="1" applyAlignment="1">
      <alignment horizontal="center" wrapText="1"/>
    </xf>
    <xf numFmtId="0" fontId="17" fillId="15" borderId="11" xfId="0" applyFont="1" applyFill="1" applyBorder="1" applyAlignment="1">
      <alignment horizontal="center" wrapText="1"/>
    </xf>
    <xf numFmtId="1" fontId="17" fillId="14" borderId="24" xfId="34" applyNumberFormat="1" applyFont="1" applyFill="1" applyBorder="1" applyAlignment="1">
      <alignment horizontal="center"/>
      <protection/>
    </xf>
    <xf numFmtId="0" fontId="17" fillId="14" borderId="29" xfId="34" applyFont="1" applyFill="1" applyBorder="1" applyAlignment="1">
      <alignment horizontal="center"/>
      <protection/>
    </xf>
    <xf numFmtId="1" fontId="17" fillId="14" borderId="24" xfId="34" applyNumberFormat="1" applyFont="1" applyFill="1" applyBorder="1" applyAlignment="1" quotePrefix="1">
      <alignment horizontal="center" wrapText="1"/>
      <protection/>
    </xf>
    <xf numFmtId="1" fontId="17" fillId="14" borderId="29" xfId="34" applyNumberFormat="1" applyFont="1" applyFill="1" applyBorder="1" applyAlignment="1" quotePrefix="1">
      <alignment horizontal="center" wrapText="1"/>
      <protection/>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4" borderId="73" xfId="34" applyNumberFormat="1" applyFont="1" applyFill="1" applyBorder="1" applyAlignment="1" quotePrefix="1">
      <alignment horizontal="center" wrapText="1"/>
      <protection/>
    </xf>
    <xf numFmtId="1" fontId="17" fillId="14" borderId="73" xfId="34" applyNumberFormat="1" applyFont="1" applyFill="1" applyBorder="1" applyAlignment="1">
      <alignment horizontal="center" wrapText="1"/>
      <protection/>
    </xf>
    <xf numFmtId="1" fontId="17" fillId="14" borderId="10" xfId="34" applyNumberFormat="1" applyFont="1" applyFill="1" applyBorder="1" applyAlignment="1">
      <alignment horizontal="center" wrapText="1"/>
      <protection/>
    </xf>
    <xf numFmtId="1" fontId="17" fillId="14" borderId="74" xfId="34" applyNumberFormat="1" applyFont="1" applyFill="1" applyBorder="1" applyAlignment="1">
      <alignment horizontal="center" wrapText="1"/>
      <protection/>
    </xf>
    <xf numFmtId="0" fontId="17" fillId="11" borderId="68" xfId="0" applyFont="1" applyFill="1" applyBorder="1" applyAlignment="1">
      <alignment horizontal="center"/>
    </xf>
    <xf numFmtId="0" fontId="17" fillId="11" borderId="75" xfId="0" applyFont="1" applyFill="1" applyBorder="1" applyAlignment="1">
      <alignment horizontal="center"/>
    </xf>
    <xf numFmtId="0" fontId="17" fillId="11" borderId="76" xfId="0" applyFont="1" applyFill="1" applyBorder="1" applyAlignment="1">
      <alignment horizontal="center"/>
    </xf>
    <xf numFmtId="0" fontId="17" fillId="14" borderId="12" xfId="0" applyFont="1" applyFill="1" applyBorder="1" applyAlignment="1">
      <alignment/>
    </xf>
    <xf numFmtId="0" fontId="17" fillId="14" borderId="10" xfId="0" applyFont="1" applyFill="1" applyBorder="1" applyAlignment="1">
      <alignment/>
    </xf>
    <xf numFmtId="0" fontId="17" fillId="14" borderId="11" xfId="0" applyFont="1" applyFill="1" applyBorder="1" applyAlignment="1">
      <alignment/>
    </xf>
    <xf numFmtId="0" fontId="17" fillId="12" borderId="38" xfId="0" applyFont="1" applyFill="1" applyBorder="1" applyAlignment="1">
      <alignment horizontal="left" wrapText="1"/>
    </xf>
    <xf numFmtId="0" fontId="17" fillId="12" borderId="14" xfId="0" applyFont="1" applyFill="1" applyBorder="1" applyAlignment="1">
      <alignment horizontal="left" wrapText="1"/>
    </xf>
    <xf numFmtId="0" fontId="17" fillId="12" borderId="15" xfId="0" applyFont="1" applyFill="1" applyBorder="1" applyAlignment="1">
      <alignment horizontal="left" wrapText="1"/>
    </xf>
    <xf numFmtId="0" fontId="17" fillId="12" borderId="62" xfId="0" applyFont="1" applyFill="1" applyBorder="1" applyAlignment="1">
      <alignment horizontal="left" wrapText="1"/>
    </xf>
    <xf numFmtId="0" fontId="17" fillId="12" borderId="72" xfId="0" applyFont="1" applyFill="1" applyBorder="1" applyAlignment="1">
      <alignment horizontal="left" wrapText="1"/>
    </xf>
    <xf numFmtId="0" fontId="17" fillId="12" borderId="66" xfId="0" applyFont="1" applyFill="1" applyBorder="1" applyAlignment="1">
      <alignment horizontal="left" wrapText="1"/>
    </xf>
    <xf numFmtId="1" fontId="17" fillId="14" borderId="25" xfId="34" applyNumberFormat="1" applyFont="1" applyFill="1" applyBorder="1" applyAlignment="1" quotePrefix="1">
      <alignment horizontal="center" wrapText="1"/>
      <protection/>
    </xf>
    <xf numFmtId="0" fontId="17" fillId="15" borderId="12" xfId="24" applyFont="1" applyFill="1" applyBorder="1" applyAlignment="1">
      <alignment horizontal="center" wrapText="1"/>
      <protection/>
    </xf>
    <xf numFmtId="0" fontId="17" fillId="15" borderId="10" xfId="24" applyFont="1" applyFill="1" applyBorder="1" applyAlignment="1">
      <alignment horizontal="center" wrapText="1"/>
      <protection/>
    </xf>
    <xf numFmtId="0" fontId="17" fillId="15" borderId="11" xfId="24" applyFont="1" applyFill="1" applyBorder="1" applyAlignment="1">
      <alignment horizontal="center" wrapText="1"/>
      <protection/>
    </xf>
    <xf numFmtId="1" fontId="17" fillId="14" borderId="12" xfId="34" applyNumberFormat="1" applyFont="1" applyFill="1" applyBorder="1" applyAlignment="1">
      <alignment horizontal="center" wrapText="1"/>
      <protection/>
    </xf>
    <xf numFmtId="0" fontId="17" fillId="18" borderId="12" xfId="0" applyFont="1" applyFill="1" applyBorder="1" applyAlignment="1">
      <alignment horizontal="left"/>
    </xf>
    <xf numFmtId="0" fontId="17" fillId="18" borderId="10" xfId="0" applyFont="1" applyFill="1" applyBorder="1" applyAlignment="1">
      <alignment horizontal="left"/>
    </xf>
    <xf numFmtId="0" fontId="17" fillId="18" borderId="11" xfId="0" applyFont="1" applyFill="1" applyBorder="1" applyAlignment="1">
      <alignment horizontal="left"/>
    </xf>
    <xf numFmtId="0" fontId="5" fillId="16" borderId="38" xfId="26" applyFont="1" applyFill="1" applyBorder="1" applyAlignment="1">
      <alignment horizontal="center"/>
      <protection/>
    </xf>
    <xf numFmtId="0" fontId="5" fillId="16" borderId="15" xfId="26" applyFont="1" applyFill="1" applyBorder="1" applyAlignment="1">
      <alignment horizontal="center"/>
      <protection/>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0" fontId="17" fillId="0" borderId="3" xfId="32" applyFont="1" applyBorder="1" applyAlignment="1">
      <alignment horizontal="center" vertical="center"/>
      <protection/>
    </xf>
    <xf numFmtId="0" fontId="0" fillId="0" borderId="3" xfId="32" applyBorder="1" applyAlignment="1">
      <alignment vertical="center"/>
      <protection/>
    </xf>
    <xf numFmtId="0" fontId="27" fillId="0" borderId="0" xfId="32" applyFont="1" applyAlignment="1">
      <alignment horizontal="left" vertical="center"/>
      <protection/>
    </xf>
    <xf numFmtId="0" fontId="0" fillId="0" borderId="0" xfId="32" applyAlignment="1">
      <alignment horizontal="left" vertical="center"/>
      <protection/>
    </xf>
    <xf numFmtId="0" fontId="17" fillId="11" borderId="3" xfId="32" applyFont="1" applyFill="1" applyBorder="1" applyAlignment="1">
      <alignment horizontal="center" vertical="center"/>
      <protection/>
    </xf>
    <xf numFmtId="0" fontId="0" fillId="11" borderId="3" xfId="32" applyFill="1" applyBorder="1" applyAlignment="1">
      <alignment vertical="center"/>
      <protection/>
    </xf>
    <xf numFmtId="0" fontId="17" fillId="0" borderId="5" xfId="32" applyFont="1" applyBorder="1" applyAlignment="1">
      <alignment horizontal="center" vertical="center"/>
      <protection/>
    </xf>
    <xf numFmtId="0" fontId="0" fillId="0" borderId="5" xfId="32" applyBorder="1" applyAlignment="1">
      <alignment vertical="center"/>
      <protection/>
    </xf>
    <xf numFmtId="0" fontId="17" fillId="11" borderId="7" xfId="32" applyFont="1" applyFill="1" applyBorder="1" applyAlignment="1">
      <alignment horizontal="center" vertical="center"/>
      <protection/>
    </xf>
    <xf numFmtId="0" fontId="0" fillId="11" borderId="7" xfId="32" applyFill="1" applyBorder="1" applyAlignment="1">
      <alignment vertical="center"/>
      <protection/>
    </xf>
    <xf numFmtId="0" fontId="17" fillId="0" borderId="4" xfId="32" applyFont="1" applyBorder="1" applyAlignment="1">
      <alignment horizontal="center" vertical="center"/>
      <protection/>
    </xf>
    <xf numFmtId="0" fontId="17" fillId="0" borderId="9" xfId="32" applyFont="1" applyBorder="1" applyAlignment="1">
      <alignment horizontal="center" vertical="center"/>
      <protection/>
    </xf>
    <xf numFmtId="0" fontId="17" fillId="11" borderId="4" xfId="32" applyFont="1" applyFill="1" applyBorder="1" applyAlignment="1">
      <alignment horizontal="center" vertical="center"/>
      <protection/>
    </xf>
    <xf numFmtId="0" fontId="0" fillId="0" borderId="9" xfId="32" applyBorder="1" applyAlignment="1">
      <alignment horizontal="center" vertical="center"/>
      <protection/>
    </xf>
    <xf numFmtId="171" fontId="17" fillId="0" borderId="3" xfId="32" applyNumberFormat="1" applyFont="1" applyBorder="1" applyAlignment="1">
      <alignment horizontal="center" vertical="center"/>
      <protection/>
    </xf>
    <xf numFmtId="171" fontId="0" fillId="0" borderId="3" xfId="32" applyNumberFormat="1" applyBorder="1" applyAlignment="1">
      <alignment vertical="center"/>
      <protection/>
    </xf>
  </cellXfs>
  <cellStyles count="2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EILINGU" xfId="23"/>
    <cellStyle name="Normal_ConMeasSingleFamily" xfId="24"/>
    <cellStyle name="Normal_Existing Multifamily" xfId="25"/>
    <cellStyle name="Normal_Existing SingleFamily" xfId="26"/>
    <cellStyle name="Normal_Multifamily Use" xfId="27"/>
    <cellStyle name="Normal_New Multifamily" xfId="28"/>
    <cellStyle name="Normal_New Single Family" xfId="29"/>
    <cellStyle name="Normal_ProCost Template" xfId="30"/>
    <cellStyle name="Normal_RESWXCST" xfId="31"/>
    <cellStyle name="Normal_ResWXCstPacPUD" xfId="32"/>
    <cellStyle name="Normal_ResWXCstUEC" xfId="33"/>
    <cellStyle name="Normal_T_Energy Use and Savings"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850 sqft UA vs Cumulative Cost</a:t>
            </a:r>
          </a:p>
        </c:rich>
      </c:tx>
      <c:layout/>
      <c:spPr>
        <a:noFill/>
        <a:ln>
          <a:noFill/>
        </a:ln>
      </c:spPr>
    </c:title>
    <c:plotArea>
      <c:layout/>
      <c:scatterChart>
        <c:scatterStyle val="lineMarker"/>
        <c:varyColors val="0"/>
        <c:ser>
          <c:idx val="1"/>
          <c:order val="0"/>
          <c:tx>
            <c:strRef>
              <c:f>'UA Optimizer'!$W$43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Optimizer'!$U$44:$U$56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'UA Optimizer'!$W$44:$W$56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30008434"/>
        <c:axId val="1640451"/>
      </c:scatterChart>
      <c:valAx>
        <c:axId val="30008434"/>
        <c:scaling>
          <c:orientation val="minMax"/>
        </c:scaling>
        <c:axPos val="b"/>
        <c:delete val="0"/>
        <c:numFmt formatCode="General" sourceLinked="1"/>
        <c:majorTickMark val="out"/>
        <c:minorTickMark val="none"/>
        <c:tickLblPos val="nextTo"/>
        <c:crossAx val="1640451"/>
        <c:crosses val="autoZero"/>
        <c:crossBetween val="midCat"/>
        <c:dispUnits/>
      </c:valAx>
      <c:valAx>
        <c:axId val="1640451"/>
        <c:scaling>
          <c:orientation val="minMax"/>
          <c:min val="0"/>
        </c:scaling>
        <c:axPos val="l"/>
        <c:majorGridlines/>
        <c:delete val="0"/>
        <c:numFmt formatCode="General" sourceLinked="1"/>
        <c:majorTickMark val="out"/>
        <c:minorTickMark val="none"/>
        <c:tickLblPos val="nextTo"/>
        <c:crossAx val="300084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1350 sqft UA vs Cumulative Cost</a:t>
            </a:r>
          </a:p>
        </c:rich>
      </c:tx>
      <c:layout/>
      <c:spPr>
        <a:noFill/>
        <a:ln>
          <a:noFill/>
        </a:ln>
      </c:spPr>
    </c:title>
    <c:plotArea>
      <c:layout/>
      <c:scatterChart>
        <c:scatterStyle val="lineMarker"/>
        <c:varyColors val="0"/>
        <c:ser>
          <c:idx val="0"/>
          <c:order val="0"/>
          <c:tx>
            <c:strRef>
              <c:f>'UA Optimizer'!$AC$43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0"/>
            </c:trendlineLbl>
          </c:trendline>
          <c:xVal>
            <c:numRef>
              <c:f>'UA Optimizer'!$AA$44:$AA$59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'UA Optimizer'!$AC$44:$AC$59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14764060"/>
        <c:axId val="65767677"/>
      </c:scatterChart>
      <c:valAx>
        <c:axId val="14764060"/>
        <c:scaling>
          <c:orientation val="minMax"/>
        </c:scaling>
        <c:axPos val="b"/>
        <c:delete val="0"/>
        <c:numFmt formatCode="General" sourceLinked="1"/>
        <c:majorTickMark val="out"/>
        <c:minorTickMark val="none"/>
        <c:tickLblPos val="nextTo"/>
        <c:crossAx val="65767677"/>
        <c:crosses val="autoZero"/>
        <c:crossBetween val="midCat"/>
        <c:dispUnits/>
      </c:valAx>
      <c:valAx>
        <c:axId val="65767677"/>
        <c:scaling>
          <c:orientation val="minMax"/>
          <c:min val="0"/>
        </c:scaling>
        <c:axPos val="l"/>
        <c:majorGridlines/>
        <c:delete val="0"/>
        <c:numFmt formatCode="General" sourceLinked="1"/>
        <c:majorTickMark val="out"/>
        <c:minorTickMark val="none"/>
        <c:tickLblPos val="nextTo"/>
        <c:crossAx val="147640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Arial"/>
                <a:ea typeface="Arial"/>
                <a:cs typeface="Arial"/>
              </a:rPr>
              <a:t>2184 sqft UA vs Cumulative Cost</a:t>
            </a:r>
          </a:p>
        </c:rich>
      </c:tx>
      <c:layout/>
      <c:spPr>
        <a:noFill/>
        <a:ln>
          <a:noFill/>
        </a:ln>
      </c:spPr>
    </c:title>
    <c:plotArea>
      <c:layout/>
      <c:scatterChart>
        <c:scatterStyle val="lineMarker"/>
        <c:varyColors val="0"/>
        <c:ser>
          <c:idx val="1"/>
          <c:order val="0"/>
          <c:tx>
            <c:strRef>
              <c:f>'UA Optimizer'!$AI$43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Optimizer'!$AG$44:$AG$58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'UA Optimizer'!$AI$44:$AI$58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55038182"/>
        <c:axId val="25581591"/>
      </c:scatterChart>
      <c:valAx>
        <c:axId val="55038182"/>
        <c:scaling>
          <c:orientation val="minMax"/>
        </c:scaling>
        <c:axPos val="b"/>
        <c:delete val="0"/>
        <c:numFmt formatCode="General" sourceLinked="1"/>
        <c:majorTickMark val="out"/>
        <c:minorTickMark val="none"/>
        <c:tickLblPos val="nextTo"/>
        <c:crossAx val="25581591"/>
        <c:crosses val="autoZero"/>
        <c:crossBetween val="midCat"/>
        <c:dispUnits/>
      </c:valAx>
      <c:valAx>
        <c:axId val="25581591"/>
        <c:scaling>
          <c:orientation val="minMax"/>
          <c:min val="0"/>
        </c:scaling>
        <c:axPos val="l"/>
        <c:majorGridlines/>
        <c:delete val="0"/>
        <c:numFmt formatCode="General" sourceLinked="1"/>
        <c:majorTickMark val="out"/>
        <c:minorTickMark val="none"/>
        <c:tickLblPos val="nextTo"/>
        <c:crossAx val="550381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949"/>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'Set Up Cost Analysis'!$I$7:$I$11</c:f>
              <c:numCache>
                <c:ptCount val="5"/>
                <c:pt idx="0">
                  <c:v>0</c:v>
                </c:pt>
                <c:pt idx="1">
                  <c:v>0</c:v>
                </c:pt>
                <c:pt idx="2">
                  <c:v>0</c:v>
                </c:pt>
                <c:pt idx="3">
                  <c:v>0</c:v>
                </c:pt>
                <c:pt idx="4">
                  <c:v>0</c:v>
                </c:pt>
              </c:numCache>
            </c:numRef>
          </c:xVal>
          <c:yVal>
            <c:numRef>
              <c:f>'Set Up Cost Analysis'!$J$7:$J$11</c:f>
              <c:numCache>
                <c:ptCount val="5"/>
                <c:pt idx="0">
                  <c:v>0</c:v>
                </c:pt>
                <c:pt idx="1">
                  <c:v>0</c:v>
                </c:pt>
                <c:pt idx="2">
                  <c:v>0</c:v>
                </c:pt>
                <c:pt idx="3">
                  <c:v>0</c:v>
                </c:pt>
                <c:pt idx="4">
                  <c:v>0</c:v>
                </c:pt>
              </c:numCache>
            </c:numRef>
          </c:yVal>
          <c:smooth val="0"/>
        </c:ser>
        <c:axId val="28907728"/>
        <c:axId val="58842961"/>
      </c:scatterChart>
      <c:valAx>
        <c:axId val="28907728"/>
        <c:scaling>
          <c:orientation val="minMax"/>
        </c:scaling>
        <c:axPos val="b"/>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58842961"/>
        <c:crosses val="autoZero"/>
        <c:crossBetween val="midCat"/>
        <c:dispUnits/>
      </c:valAx>
      <c:valAx>
        <c:axId val="58842961"/>
        <c:scaling>
          <c:orientation val="minMax"/>
        </c:scaling>
        <c:axPos val="l"/>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28907728"/>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4.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5.emf" /><Relationship Id="rId9" Type="http://schemas.openxmlformats.org/officeDocument/2006/relationships/image" Target="../media/image1.emf" /><Relationship Id="rId10" Type="http://schemas.openxmlformats.org/officeDocument/2006/relationships/image" Target="../media/image11.emf" /><Relationship Id="rId11" Type="http://schemas.openxmlformats.org/officeDocument/2006/relationships/image" Target="../media/image3.emf" /><Relationship Id="rId12" Type="http://schemas.openxmlformats.org/officeDocument/2006/relationships/image" Target="../media/image8.emf" /><Relationship Id="rId13" Type="http://schemas.openxmlformats.org/officeDocument/2006/relationships/image" Target="../media/image4.emf" /><Relationship Id="rId14" Type="http://schemas.openxmlformats.org/officeDocument/2006/relationships/image" Target="../media/image6.emf" /><Relationship Id="rId15"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1171575</xdr:colOff>
      <xdr:row>61</xdr:row>
      <xdr:rowOff>28575</xdr:rowOff>
    </xdr:from>
    <xdr:to>
      <xdr:col>23</xdr:col>
      <xdr:colOff>657225</xdr:colOff>
      <xdr:row>81</xdr:row>
      <xdr:rowOff>28575</xdr:rowOff>
    </xdr:to>
    <xdr:graphicFrame>
      <xdr:nvGraphicFramePr>
        <xdr:cNvPr id="1" name="Chart 7"/>
        <xdr:cNvGraphicFramePr/>
      </xdr:nvGraphicFramePr>
      <xdr:xfrm>
        <a:off x="21421725" y="10925175"/>
        <a:ext cx="6219825" cy="3324225"/>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61</xdr:row>
      <xdr:rowOff>0</xdr:rowOff>
    </xdr:from>
    <xdr:to>
      <xdr:col>31</xdr:col>
      <xdr:colOff>9525</xdr:colOff>
      <xdr:row>81</xdr:row>
      <xdr:rowOff>0</xdr:rowOff>
    </xdr:to>
    <xdr:graphicFrame>
      <xdr:nvGraphicFramePr>
        <xdr:cNvPr id="2" name="Chart 8"/>
        <xdr:cNvGraphicFramePr/>
      </xdr:nvGraphicFramePr>
      <xdr:xfrm>
        <a:off x="28336875" y="10896600"/>
        <a:ext cx="6096000" cy="3324225"/>
      </xdr:xfrm>
      <a:graphic>
        <a:graphicData uri="http://schemas.openxmlformats.org/drawingml/2006/chart">
          <c:chart xmlns:c="http://schemas.openxmlformats.org/drawingml/2006/chart" r:id="rId2"/>
        </a:graphicData>
      </a:graphic>
    </xdr:graphicFrame>
    <xdr:clientData/>
  </xdr:twoCellAnchor>
  <xdr:twoCellAnchor>
    <xdr:from>
      <xdr:col>31</xdr:col>
      <xdr:colOff>752475</xdr:colOff>
      <xdr:row>61</xdr:row>
      <xdr:rowOff>9525</xdr:rowOff>
    </xdr:from>
    <xdr:to>
      <xdr:col>39</xdr:col>
      <xdr:colOff>28575</xdr:colOff>
      <xdr:row>80</xdr:row>
      <xdr:rowOff>47625</xdr:rowOff>
    </xdr:to>
    <xdr:graphicFrame>
      <xdr:nvGraphicFramePr>
        <xdr:cNvPr id="3" name="Chart 9"/>
        <xdr:cNvGraphicFramePr/>
      </xdr:nvGraphicFramePr>
      <xdr:xfrm>
        <a:off x="35175825" y="10906125"/>
        <a:ext cx="6276975" cy="31908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16</xdr:row>
      <xdr:rowOff>38100</xdr:rowOff>
    </xdr:from>
    <xdr:to>
      <xdr:col>9</xdr:col>
      <xdr:colOff>762000</xdr:colOff>
      <xdr:row>26</xdr:row>
      <xdr:rowOff>47625</xdr:rowOff>
    </xdr:to>
    <xdr:graphicFrame>
      <xdr:nvGraphicFramePr>
        <xdr:cNvPr id="1" name="Chart 1"/>
        <xdr:cNvGraphicFramePr/>
      </xdr:nvGraphicFramePr>
      <xdr:xfrm>
        <a:off x="4314825" y="3400425"/>
        <a:ext cx="4914900" cy="194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2:AK7"/>
  <sheetViews>
    <sheetView tabSelected="1" zoomScale="120" zoomScaleNormal="12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7.28125" style="0" customWidth="1"/>
    <col min="2" max="2" width="46.421875" style="0" customWidth="1"/>
    <col min="3" max="3" width="21.140625" style="0" customWidth="1"/>
    <col min="4" max="4" width="7.8515625" style="0" customWidth="1"/>
    <col min="5" max="5" width="10.140625" style="0" customWidth="1"/>
    <col min="6" max="6" width="10.8515625" style="0" customWidth="1"/>
    <col min="7" max="7" width="12.140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140625" style="0" customWidth="1"/>
  </cols>
  <sheetData>
    <row r="1" ht="13.5" thickBot="1"/>
    <row r="2" spans="1:36" s="76" customFormat="1" ht="15.75" thickBot="1">
      <c r="A2" s="723" t="s">
        <v>116</v>
      </c>
      <c r="B2" s="724"/>
      <c r="C2" s="724"/>
      <c r="D2" s="724"/>
      <c r="E2" s="724"/>
      <c r="F2" s="724"/>
      <c r="G2" s="724"/>
      <c r="H2" s="724"/>
      <c r="I2" s="724"/>
      <c r="J2" s="724"/>
      <c r="K2" s="724"/>
      <c r="L2" s="724"/>
      <c r="M2" s="724"/>
      <c r="N2" s="724"/>
      <c r="O2" s="724"/>
      <c r="P2" s="724"/>
      <c r="Q2" s="724"/>
      <c r="R2" s="724"/>
      <c r="S2" s="724"/>
      <c r="T2" s="724"/>
      <c r="U2" s="724"/>
      <c r="V2" s="724"/>
      <c r="W2" s="725"/>
      <c r="X2" s="723" t="s">
        <v>117</v>
      </c>
      <c r="Y2" s="724"/>
      <c r="Z2" s="725"/>
      <c r="AA2" s="724" t="s">
        <v>118</v>
      </c>
      <c r="AB2" s="724"/>
      <c r="AC2" s="724"/>
      <c r="AD2" s="727"/>
      <c r="AE2" s="726" t="s">
        <v>119</v>
      </c>
      <c r="AF2" s="724"/>
      <c r="AG2" s="724"/>
      <c r="AH2" s="727"/>
      <c r="AI2" s="74"/>
      <c r="AJ2" s="75"/>
    </row>
    <row r="3" spans="1:37" s="80" customFormat="1" ht="79.5" thickBot="1">
      <c r="A3" s="77" t="s">
        <v>120</v>
      </c>
      <c r="B3" s="78" t="s">
        <v>121</v>
      </c>
      <c r="C3" s="78" t="s">
        <v>122</v>
      </c>
      <c r="D3" s="78" t="s">
        <v>123</v>
      </c>
      <c r="E3" s="78" t="s">
        <v>156</v>
      </c>
      <c r="F3" s="78" t="s">
        <v>157</v>
      </c>
      <c r="G3" s="78" t="s">
        <v>158</v>
      </c>
      <c r="H3" s="78" t="s">
        <v>124</v>
      </c>
      <c r="I3" s="78" t="s">
        <v>159</v>
      </c>
      <c r="J3" s="78" t="s">
        <v>125</v>
      </c>
      <c r="K3" s="78" t="s">
        <v>126</v>
      </c>
      <c r="L3" s="78" t="s">
        <v>127</v>
      </c>
      <c r="M3" s="78" t="s">
        <v>128</v>
      </c>
      <c r="N3" s="78" t="s">
        <v>160</v>
      </c>
      <c r="O3" s="78" t="s">
        <v>129</v>
      </c>
      <c r="P3" s="78" t="s">
        <v>161</v>
      </c>
      <c r="Q3" s="78" t="s">
        <v>130</v>
      </c>
      <c r="R3" s="78" t="s">
        <v>131</v>
      </c>
      <c r="S3" s="78" t="s">
        <v>138</v>
      </c>
      <c r="T3" s="78" t="s">
        <v>139</v>
      </c>
      <c r="U3" s="78" t="s">
        <v>140</v>
      </c>
      <c r="V3" s="78" t="s">
        <v>141</v>
      </c>
      <c r="W3" s="78" t="s">
        <v>142</v>
      </c>
      <c r="X3" s="77" t="s">
        <v>143</v>
      </c>
      <c r="Y3" s="77" t="s">
        <v>144</v>
      </c>
      <c r="Z3" s="78" t="s">
        <v>145</v>
      </c>
      <c r="AA3" s="78" t="s">
        <v>146</v>
      </c>
      <c r="AB3" s="78" t="s">
        <v>147</v>
      </c>
      <c r="AC3" s="78" t="s">
        <v>148</v>
      </c>
      <c r="AD3" s="78" t="s">
        <v>149</v>
      </c>
      <c r="AE3" s="78" t="s">
        <v>150</v>
      </c>
      <c r="AF3" s="78" t="s">
        <v>151</v>
      </c>
      <c r="AG3" s="78" t="s">
        <v>152</v>
      </c>
      <c r="AH3" s="79" t="s">
        <v>142</v>
      </c>
      <c r="AI3" s="94" t="s">
        <v>153</v>
      </c>
      <c r="AJ3" s="94" t="s">
        <v>154</v>
      </c>
      <c r="AK3" s="94" t="s">
        <v>66</v>
      </c>
    </row>
    <row r="4" spans="1:37" ht="67.5">
      <c r="A4" s="88" t="str">
        <f>SFResWX!B23</f>
        <v>Single Family Weatherization - Zone 3</v>
      </c>
      <c r="B4" s="81" t="str">
        <f>VLOOKUP($A4,'Lookup Table'!$A$4:$D$7,2,0)</f>
        <v>Single family unit must meet WeatherWise Program &amp; Specifications for the installation of this measure.</v>
      </c>
      <c r="C4" s="81" t="str">
        <f>VLOOKUP($A4,'Lookup Table'!$A$4:$D$7,3,0)</f>
        <v>Existing Single Family Residence w/Electric Heat as defined by WeatherWise Specifications</v>
      </c>
      <c r="D4" s="81" t="str">
        <f>VLOOKUP($A4,'Lookup Table'!$A$4:$D$7,4,0)</f>
        <v>Heating Zone 3</v>
      </c>
      <c r="E4" s="118">
        <f>SFResWX!E23</f>
        <v>1230.03</v>
      </c>
      <c r="F4" s="82">
        <f>SFResWX!F23</f>
        <v>0</v>
      </c>
      <c r="G4" s="82">
        <f>SFResWX!G23</f>
        <v>0</v>
      </c>
      <c r="H4" s="83">
        <f>SFResWX!C23</f>
        <v>45</v>
      </c>
      <c r="I4" s="83" t="s">
        <v>164</v>
      </c>
      <c r="J4" s="119">
        <f>SFResWX!D23</f>
        <v>3922.0424703627264</v>
      </c>
      <c r="K4" s="119">
        <f>SFResWX!K23</f>
        <v>4221.098208727884</v>
      </c>
      <c r="L4" s="85">
        <f>SFResWX!J23</f>
        <v>0.4009999930858612</v>
      </c>
      <c r="M4" s="90">
        <f>SFResWX!L23</f>
        <v>0.9201241316126455</v>
      </c>
      <c r="N4" s="89">
        <f>SFResWX!N23/SFResWX!K23</f>
        <v>0.2913994656465846</v>
      </c>
      <c r="O4" s="89">
        <f>SFResWX!O23/SFResWX!$K23</f>
        <v>0</v>
      </c>
      <c r="P4" s="89">
        <f>SFResWX!P23/SFResWX!$K23</f>
        <v>0</v>
      </c>
      <c r="Q4" s="89">
        <f>SFResWX!Q23/SFResWX!$K23</f>
        <v>0.29139946431301617</v>
      </c>
      <c r="R4" s="84">
        <f>SFResWX!S23/SFResWX!K23</f>
        <v>0.42092979011151593</v>
      </c>
      <c r="S4" s="84">
        <f>SFResWX!T23/SFResWX!$K23</f>
        <v>0.012061538170098703</v>
      </c>
      <c r="T4" s="84">
        <f>SFResWX!U23/SFResWX!$K23</f>
        <v>0.06238756886330429</v>
      </c>
      <c r="U4" s="84">
        <f>SUM(R4:T4)</f>
        <v>0.4953788971449189</v>
      </c>
      <c r="V4" s="84">
        <f>U4-Q4</f>
        <v>0.20397943283190273</v>
      </c>
      <c r="W4" s="85">
        <f>SFResWX!X23</f>
        <v>1.6981223773483671</v>
      </c>
      <c r="X4" s="85">
        <f>SFResWX!I23</f>
        <v>0.21</v>
      </c>
      <c r="Y4" s="90">
        <f>SFResWX!M23</f>
        <v>2.294574022293091</v>
      </c>
      <c r="Z4" s="85">
        <f>SFResWX!Y23/SFResWX!K23</f>
        <v>0.20052432316736243</v>
      </c>
      <c r="AA4" s="84" t="s">
        <v>165</v>
      </c>
      <c r="AB4" s="91" t="s">
        <v>166</v>
      </c>
      <c r="AC4" s="84">
        <f>SFResWX!Z23/SFResWX!$K23</f>
        <v>0</v>
      </c>
      <c r="AD4" s="84">
        <f>SFResWX!AA23/SFResWX!$K23</f>
        <v>0</v>
      </c>
      <c r="AE4" s="84">
        <f>SFResWX!AC23/SFResWX!$K23</f>
        <v>0.29139946431301617</v>
      </c>
      <c r="AF4" s="84">
        <f>SFResWX!AB23/SFResWX!$K23</f>
        <v>0.6953563009406262</v>
      </c>
      <c r="AG4" s="84">
        <f>AF4-AE4</f>
        <v>0.40395683662761</v>
      </c>
      <c r="AH4" s="85">
        <f>AF4/AE4</f>
        <v>2.3862648566631774</v>
      </c>
      <c r="AI4" s="95" t="s">
        <v>248</v>
      </c>
      <c r="AJ4" s="95" t="s">
        <v>167</v>
      </c>
      <c r="AK4" s="715">
        <f>VLOOKUP(A4,SFResWX!$B$23:$R$26,17,0)</f>
        <v>15.798952230414882</v>
      </c>
    </row>
    <row r="5" spans="1:37" ht="67.5">
      <c r="A5" s="88" t="str">
        <f>SFResWX!B24</f>
        <v>Single Family Weatherization - Zone 2</v>
      </c>
      <c r="B5" s="81" t="str">
        <f>VLOOKUP($A5,'Lookup Table'!$A$4:$D$7,2,0)</f>
        <v>Single family unit must meet WeatherWise Program &amp; Specifications for the installation of this measure.</v>
      </c>
      <c r="C5" s="81" t="str">
        <f>VLOOKUP($A5,'Lookup Table'!$A$4:$D$7,3,0)</f>
        <v>Existing Single Family Residence w/Electric Heat as defined by WeatherWise Specifications</v>
      </c>
      <c r="D5" s="81" t="str">
        <f>VLOOKUP($A5,'Lookup Table'!$A$4:$D$7,4,0)</f>
        <v>Heating Zone 2</v>
      </c>
      <c r="E5" s="118">
        <f>SFResWX!E24</f>
        <v>1230.03</v>
      </c>
      <c r="F5" s="82">
        <f>SFResWX!F24</f>
        <v>0</v>
      </c>
      <c r="G5" s="82">
        <f>SFResWX!G24</f>
        <v>0</v>
      </c>
      <c r="H5" s="83">
        <f>SFResWX!C24</f>
        <v>45</v>
      </c>
      <c r="I5" s="83" t="s">
        <v>164</v>
      </c>
      <c r="J5" s="119">
        <f>SFResWX!D24</f>
        <v>3472.853507631033</v>
      </c>
      <c r="K5" s="119">
        <f>SFResWX!K24</f>
        <v>3737.658587587899</v>
      </c>
      <c r="L5" s="85">
        <f>SFResWX!J24</f>
        <v>0.4009999930858612</v>
      </c>
      <c r="M5" s="90">
        <f>SFResWX!L24</f>
        <v>0.8147429157317121</v>
      </c>
      <c r="N5" s="89">
        <f>SFResWX!N24/SFResWX!K24</f>
        <v>0.3290899191675125</v>
      </c>
      <c r="O5" s="89">
        <f>SFResWX!O24/SFResWX!$K24</f>
        <v>0</v>
      </c>
      <c r="P5" s="89">
        <f>SFResWX!P24/SFResWX!$K24</f>
        <v>0</v>
      </c>
      <c r="Q5" s="89">
        <f>SFResWX!Q24/SFResWX!$K24</f>
        <v>0.3290899176614565</v>
      </c>
      <c r="R5" s="84">
        <f>SFResWX!S24/SFResWX!K24</f>
        <v>0.4209297901115157</v>
      </c>
      <c r="S5" s="84">
        <f>SFResWX!T24/SFResWX!$K24</f>
        <v>0.012061537490180756</v>
      </c>
      <c r="T5" s="84">
        <f>SFResWX!U24/SFResWX!$K24</f>
        <v>0.06238757117529948</v>
      </c>
      <c r="U5" s="84">
        <f>SUM(R5:T5)</f>
        <v>0.4953788987769959</v>
      </c>
      <c r="V5" s="84">
        <f>U5-Q5</f>
        <v>0.1662889811155394</v>
      </c>
      <c r="W5" s="85">
        <f>SFResWX!X24</f>
        <v>1.5036375375021405</v>
      </c>
      <c r="X5" s="85">
        <f>SFResWX!I24</f>
        <v>0.21</v>
      </c>
      <c r="Y5" s="90">
        <f>SFResWX!M24</f>
        <v>2.031777858734131</v>
      </c>
      <c r="Z5" s="85">
        <f>SFResWX!Y24/SFResWX!K24</f>
        <v>0.2005243222500453</v>
      </c>
      <c r="AA5" s="84" t="s">
        <v>165</v>
      </c>
      <c r="AB5" s="91" t="s">
        <v>166</v>
      </c>
      <c r="AC5" s="84">
        <f>SFResWX!Z24/SFResWX!$K24</f>
        <v>0</v>
      </c>
      <c r="AD5" s="84">
        <f>SFResWX!AA24/SFResWX!$K24</f>
        <v>0</v>
      </c>
      <c r="AE5" s="84">
        <f>SFResWX!AC24/SFResWX!$K24</f>
        <v>0.3290899176614565</v>
      </c>
      <c r="AF5" s="84">
        <f>SFResWX!AB24/SFResWX!$K24</f>
        <v>0.6953562861953423</v>
      </c>
      <c r="AG5" s="84">
        <f>AF5-AE5</f>
        <v>0.3662663685338858</v>
      </c>
      <c r="AH5" s="85">
        <f>AF5/AE5</f>
        <v>2.1129674562399496</v>
      </c>
      <c r="AI5" s="95" t="s">
        <v>248</v>
      </c>
      <c r="AJ5" s="95" t="s">
        <v>167</v>
      </c>
      <c r="AK5" s="715">
        <f>VLOOKUP(A5,SFResWX!$B$23:$R$26,17,0)</f>
        <v>17.842434614291356</v>
      </c>
    </row>
    <row r="6" spans="1:37" ht="67.5">
      <c r="A6" s="88" t="str">
        <f>SFResWX!B25</f>
        <v>Single Family Weatherization - PNW Average Climate</v>
      </c>
      <c r="B6" s="81" t="str">
        <f>VLOOKUP($A6,'Lookup Table'!$A$4:$D$7,2,0)</f>
        <v>Single family unit must meet WeatherWise Program &amp; Specifications for the installation of this measure.</v>
      </c>
      <c r="C6" s="81" t="str">
        <f>VLOOKUP($A6,'Lookup Table'!$A$4:$D$7,3,0)</f>
        <v>Existing Single Family Residence w/Electric Heat as defined by WeatherWise Specifications</v>
      </c>
      <c r="D6" s="81" t="str">
        <f>VLOOKUP($A6,'Lookup Table'!$A$4:$D$7,4,0)</f>
        <v>PNW Average Climate</v>
      </c>
      <c r="E6" s="118">
        <f>SFResWX!E25</f>
        <v>1230.03</v>
      </c>
      <c r="F6" s="82">
        <f>SFResWX!F25</f>
        <v>0</v>
      </c>
      <c r="G6" s="82">
        <f>SFResWX!G25</f>
        <v>0</v>
      </c>
      <c r="H6" s="83">
        <f>SFResWX!C25</f>
        <v>45</v>
      </c>
      <c r="I6" s="83" t="s">
        <v>164</v>
      </c>
      <c r="J6" s="119">
        <f>SFResWX!D25</f>
        <v>2935.176224632179</v>
      </c>
      <c r="K6" s="119">
        <f>SFResWX!K25</f>
        <v>3158.9834117603823</v>
      </c>
      <c r="L6" s="85">
        <f>SFResWX!J25</f>
        <v>0.4009999930858612</v>
      </c>
      <c r="M6" s="90">
        <f>SFResWX!L25</f>
        <v>0.6886020473332592</v>
      </c>
      <c r="N6" s="89">
        <f>SFResWX!N25/SFResWX!K25</f>
        <v>0.38937392259987014</v>
      </c>
      <c r="O6" s="89">
        <f>SFResWX!O25/SFResWX!$K25</f>
        <v>0</v>
      </c>
      <c r="P6" s="89">
        <f>SFResWX!P25/SFResWX!$K25</f>
        <v>0</v>
      </c>
      <c r="Q6" s="89">
        <f>SFResWX!Q25/SFResWX!$K25</f>
        <v>0.38937392081792876</v>
      </c>
      <c r="R6" s="84">
        <f>SFResWX!S25/SFResWX!K25</f>
        <v>0.4209297901115143</v>
      </c>
      <c r="S6" s="84">
        <f>SFResWX!T25/SFResWX!$K25</f>
        <v>0.01206153834572067</v>
      </c>
      <c r="T6" s="84">
        <f>SFResWX!U25/SFResWX!$K25</f>
        <v>0.06238757003104965</v>
      </c>
      <c r="U6" s="84">
        <f>SUM(R6:T6)</f>
        <v>0.49537889848828465</v>
      </c>
      <c r="V6" s="84">
        <f>U6-Q6</f>
        <v>0.10600497767035588</v>
      </c>
      <c r="W6" s="85">
        <f>SFResWX!X25</f>
        <v>1.2708399967454083</v>
      </c>
      <c r="X6" s="85">
        <f>SFResWX!I25</f>
        <v>0.21</v>
      </c>
      <c r="Y6" s="90">
        <f>SFResWX!M25</f>
        <v>1.7172120809555054</v>
      </c>
      <c r="Z6" s="85">
        <f>SFResWX!Y25/SFResWX!K25</f>
        <v>0.20052430143706637</v>
      </c>
      <c r="AA6" s="84" t="s">
        <v>165</v>
      </c>
      <c r="AB6" s="91" t="s">
        <v>166</v>
      </c>
      <c r="AC6" s="84">
        <f>SFResWX!Z25/SFResWX!$K25</f>
        <v>0</v>
      </c>
      <c r="AD6" s="84">
        <f>SFResWX!AA25/SFResWX!$K25</f>
        <v>0</v>
      </c>
      <c r="AE6" s="84">
        <f>SFResWX!AC25/SFResWX!$K25</f>
        <v>0.38937392081792876</v>
      </c>
      <c r="AF6" s="84">
        <f>SFResWX!AB25/SFResWX!$K25</f>
        <v>0.6953562618615595</v>
      </c>
      <c r="AG6" s="84">
        <f>AF6-AE6</f>
        <v>0.30598234104363076</v>
      </c>
      <c r="AH6" s="85">
        <f>AF6/AE6</f>
        <v>1.7858316252944637</v>
      </c>
      <c r="AI6" s="95" t="s">
        <v>248</v>
      </c>
      <c r="AJ6" s="95" t="s">
        <v>167</v>
      </c>
      <c r="AK6" s="715">
        <f>VLOOKUP(A6,SFResWX!$B$23:$R$26,17,0)</f>
        <v>21.110882922433092</v>
      </c>
    </row>
    <row r="7" spans="1:37" ht="67.5">
      <c r="A7" s="88" t="str">
        <f>SFResWX!B26</f>
        <v>Single Family Weatherization - Zone 1</v>
      </c>
      <c r="B7" s="81" t="str">
        <f>VLOOKUP($A7,'Lookup Table'!$A$4:$D$7,2,0)</f>
        <v>Single family unit must meet WeatherWise Program &amp; Specifications for the installation of this measure.</v>
      </c>
      <c r="C7" s="81" t="str">
        <f>VLOOKUP($A7,'Lookup Table'!$A$4:$D$7,3,0)</f>
        <v>Existing Single Family Residence w/Electric Heat as defined by WeatherWise Specifications</v>
      </c>
      <c r="D7" s="81" t="str">
        <f>VLOOKUP($A7,'Lookup Table'!$A$4:$D$7,4,0)</f>
        <v>Heating Zone 1</v>
      </c>
      <c r="E7" s="118">
        <f>SFResWX!E26</f>
        <v>1230.03</v>
      </c>
      <c r="F7" s="82">
        <f>SFResWX!F26</f>
        <v>0</v>
      </c>
      <c r="G7" s="82">
        <f>SFResWX!G26</f>
        <v>0</v>
      </c>
      <c r="H7" s="83">
        <f>SFResWX!C26</f>
        <v>45</v>
      </c>
      <c r="I7" s="83" t="s">
        <v>164</v>
      </c>
      <c r="J7" s="119">
        <f>SFResWX!D26</f>
        <v>2720.5716576608024</v>
      </c>
      <c r="K7" s="119">
        <f>SFResWX!K26</f>
        <v>2928.0152465574383</v>
      </c>
      <c r="L7" s="85">
        <f>SFResWX!J26</f>
        <v>0.4009999930858612</v>
      </c>
      <c r="M7" s="90">
        <f>SFResWX!L26</f>
        <v>0.6382551063409594</v>
      </c>
      <c r="N7" s="89">
        <f>SFResWX!N26/SFResWX!K26</f>
        <v>0.42008857840178315</v>
      </c>
      <c r="O7" s="89">
        <f>SFResWX!O26/SFResWX!$K26</f>
        <v>0</v>
      </c>
      <c r="P7" s="89">
        <f>SFResWX!P26/SFResWX!$K26</f>
        <v>0</v>
      </c>
      <c r="Q7" s="89">
        <f>SFResWX!Q26/SFResWX!$K26</f>
        <v>0.42008857647927833</v>
      </c>
      <c r="R7" s="84">
        <f>SFResWX!S26/SFResWX!K26</f>
        <v>0.4209297901115162</v>
      </c>
      <c r="S7" s="84">
        <f>SFResWX!T26/SFResWX!$K26</f>
        <v>0.01206153832175223</v>
      </c>
      <c r="T7" s="84">
        <f>SFResWX!U26/SFResWX!$K26</f>
        <v>0.06238756889823595</v>
      </c>
      <c r="U7" s="84">
        <f>SUM(R7:T7)</f>
        <v>0.49537889733150436</v>
      </c>
      <c r="V7" s="84">
        <f>U7-Q7</f>
        <v>0.07529032085222603</v>
      </c>
      <c r="W7" s="85">
        <f>SFResWX!X26</f>
        <v>1.1779228925464489</v>
      </c>
      <c r="X7" s="85">
        <f>SFResWX!I26</f>
        <v>0.21</v>
      </c>
      <c r="Y7" s="90">
        <f>SFResWX!M26</f>
        <v>1.591658592224121</v>
      </c>
      <c r="Z7" s="85">
        <f>SFResWX!Y26/SFResWX!K26</f>
        <v>0.20052427092000663</v>
      </c>
      <c r="AA7" s="84" t="s">
        <v>165</v>
      </c>
      <c r="AB7" s="91" t="s">
        <v>166</v>
      </c>
      <c r="AC7" s="84">
        <f>SFResWX!Z26/SFResWX!$K26</f>
        <v>0</v>
      </c>
      <c r="AD7" s="84">
        <f>SFResWX!AA26/SFResWX!$K26</f>
        <v>0</v>
      </c>
      <c r="AE7" s="84">
        <f>SFResWX!AC26/SFResWX!$K26</f>
        <v>0.42008857647927833</v>
      </c>
      <c r="AF7" s="84">
        <f>SFResWX!AB26/SFResWX!$K26</f>
        <v>0.6953562397835212</v>
      </c>
      <c r="AG7" s="84">
        <f>AF7-AE7</f>
        <v>0.2752676633042429</v>
      </c>
      <c r="AH7" s="85">
        <f>AF7/AE7</f>
        <v>1.655261006169781</v>
      </c>
      <c r="AI7" s="95" t="s">
        <v>248</v>
      </c>
      <c r="AJ7" s="95" t="s">
        <v>167</v>
      </c>
      <c r="AK7" s="715">
        <f>VLOOKUP(A7,SFResWX!$B$23:$R$26,17,0)</f>
        <v>22.77615495274145</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4"/>
  <dimension ref="A1:L27"/>
  <sheetViews>
    <sheetView workbookViewId="0" topLeftCell="A1">
      <selection activeCell="L14" sqref="L14"/>
    </sheetView>
  </sheetViews>
  <sheetFormatPr defaultColWidth="9.140625" defaultRowHeight="12.75"/>
  <cols>
    <col min="1" max="1" width="24.57421875" style="120" customWidth="1"/>
    <col min="2" max="2" width="6.00390625" style="120" customWidth="1"/>
    <col min="3" max="3" width="9.7109375" style="120" customWidth="1"/>
    <col min="4" max="4" width="10.7109375" style="120" customWidth="1"/>
    <col min="5" max="5" width="10.421875" style="120" customWidth="1"/>
    <col min="6" max="7" width="9.8515625" style="120" customWidth="1"/>
    <col min="8" max="8" width="10.00390625" style="120" customWidth="1"/>
    <col min="9" max="9" width="10.140625" style="120" customWidth="1"/>
    <col min="10" max="10" width="10.421875" style="120" customWidth="1"/>
    <col min="11" max="16384" width="11.421875" style="120" customWidth="1"/>
  </cols>
  <sheetData>
    <row r="1" ht="15.75">
      <c r="A1" s="120" t="s">
        <v>249</v>
      </c>
    </row>
    <row r="2" ht="15.75">
      <c r="A2" s="120" t="s">
        <v>250</v>
      </c>
    </row>
    <row r="3" ht="15.75">
      <c r="L3" s="252" t="s">
        <v>422</v>
      </c>
    </row>
    <row r="4" spans="4:12" ht="15.75">
      <c r="D4" s="121" t="s">
        <v>251</v>
      </c>
      <c r="L4" s="120">
        <v>1.166358595194085</v>
      </c>
    </row>
    <row r="5" spans="1:12" ht="15.75">
      <c r="A5" s="120" t="s">
        <v>252</v>
      </c>
      <c r="B5" s="120" t="s">
        <v>253</v>
      </c>
      <c r="C5" s="120">
        <v>1985</v>
      </c>
      <c r="D5" s="120">
        <v>1986</v>
      </c>
      <c r="E5" s="120">
        <v>1987</v>
      </c>
      <c r="F5" s="120">
        <v>1988</v>
      </c>
      <c r="G5" s="120">
        <v>1989</v>
      </c>
      <c r="H5" s="120">
        <v>1990</v>
      </c>
      <c r="I5" s="120">
        <v>1991</v>
      </c>
      <c r="J5" s="120">
        <v>1992</v>
      </c>
      <c r="L5" s="252" t="s">
        <v>421</v>
      </c>
    </row>
    <row r="6" spans="1:12" ht="15.75">
      <c r="A6" s="120" t="s">
        <v>254</v>
      </c>
      <c r="B6" s="120" t="s">
        <v>255</v>
      </c>
      <c r="C6" s="122">
        <v>0.51</v>
      </c>
      <c r="D6" s="122">
        <v>0.55</v>
      </c>
      <c r="E6" s="122">
        <v>0.57</v>
      </c>
      <c r="F6" s="122">
        <v>0.56</v>
      </c>
      <c r="G6" s="122">
        <v>0.58</v>
      </c>
      <c r="H6" s="122">
        <v>0.62</v>
      </c>
      <c r="I6" s="122">
        <v>0.64</v>
      </c>
      <c r="J6" s="122">
        <v>0.68</v>
      </c>
      <c r="L6" s="125">
        <f>J6*L$4</f>
        <v>0.7931238447319778</v>
      </c>
    </row>
    <row r="7" spans="1:12" ht="15.75">
      <c r="A7" s="120" t="s">
        <v>256</v>
      </c>
      <c r="B7" s="120" t="s">
        <v>257</v>
      </c>
      <c r="C7" s="122">
        <v>0.76</v>
      </c>
      <c r="D7" s="122">
        <v>0.78</v>
      </c>
      <c r="E7" s="122">
        <v>0.8</v>
      </c>
      <c r="F7" s="122">
        <v>0.79</v>
      </c>
      <c r="G7" s="122">
        <v>0.82</v>
      </c>
      <c r="H7" s="122">
        <v>0.87</v>
      </c>
      <c r="I7" s="122">
        <v>0.94</v>
      </c>
      <c r="J7" s="122">
        <v>0.96</v>
      </c>
      <c r="L7" s="125">
        <f aca="true" t="shared" si="0" ref="L7:L15">J7*L$4</f>
        <v>1.1197042513863216</v>
      </c>
    </row>
    <row r="8" spans="1:12" ht="15.75">
      <c r="A8" s="120" t="s">
        <v>258</v>
      </c>
      <c r="B8" s="120" t="s">
        <v>259</v>
      </c>
      <c r="C8" s="122">
        <v>0.68</v>
      </c>
      <c r="D8" s="122">
        <v>0.72</v>
      </c>
      <c r="E8" s="122">
        <v>0.7</v>
      </c>
      <c r="F8" s="122">
        <v>0.68</v>
      </c>
      <c r="G8" s="122">
        <v>0.76</v>
      </c>
      <c r="H8" s="122">
        <v>0.8</v>
      </c>
      <c r="I8" s="122">
        <v>0.61</v>
      </c>
      <c r="J8" s="122">
        <v>1.21</v>
      </c>
      <c r="L8" s="125">
        <f t="shared" si="0"/>
        <v>1.4112939001848428</v>
      </c>
    </row>
    <row r="9" spans="1:12" ht="15.75">
      <c r="A9" s="120" t="s">
        <v>260</v>
      </c>
      <c r="B9" s="120" t="s">
        <v>261</v>
      </c>
      <c r="C9" s="122">
        <v>0.91</v>
      </c>
      <c r="D9" s="122">
        <v>1.01</v>
      </c>
      <c r="E9" s="122">
        <v>1.31</v>
      </c>
      <c r="F9" s="122">
        <v>1.2</v>
      </c>
      <c r="G9" s="122">
        <v>1.19</v>
      </c>
      <c r="H9" s="122">
        <v>1.12</v>
      </c>
      <c r="I9" s="122">
        <v>1.27</v>
      </c>
      <c r="J9" s="122">
        <v>1.36</v>
      </c>
      <c r="L9" s="125">
        <f t="shared" si="0"/>
        <v>1.5862476894639557</v>
      </c>
    </row>
    <row r="10" spans="1:12" ht="15.75">
      <c r="A10" s="120" t="s">
        <v>262</v>
      </c>
      <c r="B10" s="120" t="s">
        <v>263</v>
      </c>
      <c r="C10" s="122">
        <v>0.68</v>
      </c>
      <c r="D10" s="122">
        <v>0.67</v>
      </c>
      <c r="E10" s="122">
        <v>0.7</v>
      </c>
      <c r="F10" s="122">
        <v>0.71</v>
      </c>
      <c r="G10" s="122">
        <v>0.72</v>
      </c>
      <c r="H10" s="122">
        <v>0.74</v>
      </c>
      <c r="I10" s="122">
        <v>0.86</v>
      </c>
      <c r="J10" s="122">
        <v>0.8</v>
      </c>
      <c r="L10" s="125">
        <f t="shared" si="0"/>
        <v>0.933086876155268</v>
      </c>
    </row>
    <row r="11" spans="1:12" ht="16.5" thickBot="1">
      <c r="A11" s="120" t="s">
        <v>264</v>
      </c>
      <c r="B11" s="120" t="s">
        <v>265</v>
      </c>
      <c r="C11" s="122">
        <v>2.34</v>
      </c>
      <c r="D11" s="122">
        <v>2.37</v>
      </c>
      <c r="E11" s="122">
        <v>2.35</v>
      </c>
      <c r="F11" s="122">
        <v>2.37</v>
      </c>
      <c r="G11" s="122">
        <v>2.15</v>
      </c>
      <c r="H11" s="122">
        <v>2.49</v>
      </c>
      <c r="I11" s="122">
        <v>2.69</v>
      </c>
      <c r="J11" s="122">
        <v>2.95</v>
      </c>
      <c r="L11" s="125">
        <f t="shared" si="0"/>
        <v>3.4407578558225507</v>
      </c>
    </row>
    <row r="12" spans="1:12" ht="16.5" thickBot="1">
      <c r="A12" s="120" t="s">
        <v>266</v>
      </c>
      <c r="B12" s="120" t="s">
        <v>267</v>
      </c>
      <c r="C12" s="122">
        <v>7.26</v>
      </c>
      <c r="D12" s="122">
        <v>8.02</v>
      </c>
      <c r="E12" s="122">
        <v>7.97</v>
      </c>
      <c r="F12" s="122">
        <v>8.64</v>
      </c>
      <c r="G12" s="123">
        <v>8.6</v>
      </c>
      <c r="H12" s="124">
        <v>9.08</v>
      </c>
      <c r="I12" s="122">
        <v>12.9</v>
      </c>
      <c r="J12" s="122">
        <v>14.75</v>
      </c>
      <c r="L12" s="125">
        <f t="shared" si="0"/>
        <v>17.20378927911275</v>
      </c>
    </row>
    <row r="13" spans="1:12" ht="15.75">
      <c r="A13" s="120" t="s">
        <v>268</v>
      </c>
      <c r="B13" s="120" t="s">
        <v>269</v>
      </c>
      <c r="C13" s="122">
        <v>7.77</v>
      </c>
      <c r="D13" s="122">
        <v>10.68</v>
      </c>
      <c r="E13" s="122">
        <v>8.72</v>
      </c>
      <c r="F13" s="122">
        <v>7.66</v>
      </c>
      <c r="G13" s="122">
        <v>9.74</v>
      </c>
      <c r="H13" s="122">
        <v>11.09</v>
      </c>
      <c r="I13" s="122">
        <v>3.04</v>
      </c>
      <c r="J13" s="122">
        <v>2.75</v>
      </c>
      <c r="L13" s="125">
        <f t="shared" si="0"/>
        <v>3.2074861367837335</v>
      </c>
    </row>
    <row r="14" spans="1:12" ht="15.75">
      <c r="A14" s="121" t="s">
        <v>270</v>
      </c>
      <c r="B14" s="120" t="s">
        <v>271</v>
      </c>
      <c r="C14" s="122">
        <v>11.84</v>
      </c>
      <c r="D14" s="122">
        <v>13.23</v>
      </c>
      <c r="E14" s="122">
        <v>12.38</v>
      </c>
      <c r="F14" s="122">
        <v>11.87</v>
      </c>
      <c r="G14" s="122">
        <v>12.32</v>
      </c>
      <c r="H14" s="122">
        <v>14.12</v>
      </c>
      <c r="I14" s="122">
        <v>15.09</v>
      </c>
      <c r="J14" s="122">
        <v>16.25</v>
      </c>
      <c r="L14" s="125">
        <f t="shared" si="0"/>
        <v>18.95332717190388</v>
      </c>
    </row>
    <row r="15" spans="1:12" ht="15.75">
      <c r="A15" s="120" t="s">
        <v>272</v>
      </c>
      <c r="B15" s="120" t="s">
        <v>273</v>
      </c>
      <c r="C15" s="122">
        <v>8.92</v>
      </c>
      <c r="D15" s="122">
        <v>9.21</v>
      </c>
      <c r="E15" s="122">
        <v>8.91</v>
      </c>
      <c r="F15" s="122">
        <v>8.61</v>
      </c>
      <c r="G15" s="122">
        <v>10.36</v>
      </c>
      <c r="H15" s="122">
        <v>11.4</v>
      </c>
      <c r="I15" s="122">
        <v>15.29</v>
      </c>
      <c r="J15" s="122">
        <v>14.76</v>
      </c>
      <c r="L15" s="125">
        <f t="shared" si="0"/>
        <v>17.215452865064695</v>
      </c>
    </row>
    <row r="17" spans="4:7" ht="15.75">
      <c r="D17" s="121"/>
      <c r="E17" s="120" t="s">
        <v>274</v>
      </c>
      <c r="G17" s="125">
        <f>(G12+H12)/2</f>
        <v>8.84</v>
      </c>
    </row>
    <row r="18" spans="5:7" ht="15.75">
      <c r="E18" s="120" t="s">
        <v>275</v>
      </c>
      <c r="G18" s="120">
        <f>128.9/110.7</f>
        <v>1.1644083107497742</v>
      </c>
    </row>
    <row r="19" ht="15.75">
      <c r="G19" s="122">
        <f>G17*G18</f>
        <v>10.293369467028004</v>
      </c>
    </row>
    <row r="27" ht="15.75">
      <c r="A27" s="121"/>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8"/>
  <dimension ref="A1:L24"/>
  <sheetViews>
    <sheetView workbookViewId="0" topLeftCell="A1">
      <selection activeCell="C29" sqref="C29"/>
    </sheetView>
  </sheetViews>
  <sheetFormatPr defaultColWidth="9.140625" defaultRowHeight="12.75"/>
  <cols>
    <col min="1" max="1" width="10.140625" style="127" bestFit="1" customWidth="1"/>
    <col min="2" max="2" width="9.140625" style="127" customWidth="1"/>
    <col min="3" max="3" width="9.8515625" style="127" bestFit="1" customWidth="1"/>
    <col min="4" max="4" width="7.57421875" style="127" customWidth="1"/>
    <col min="5" max="5" width="8.57421875" style="127" customWidth="1"/>
    <col min="6" max="6" width="9.8515625" style="127" bestFit="1" customWidth="1"/>
    <col min="7" max="7" width="7.57421875" style="127" customWidth="1"/>
    <col min="8" max="8" width="8.57421875" style="127" customWidth="1"/>
    <col min="9" max="9" width="9.28125" style="127" bestFit="1" customWidth="1"/>
    <col min="10" max="11" width="8.57421875" style="127" customWidth="1"/>
    <col min="12" max="16384" width="9.140625" style="127" customWidth="1"/>
  </cols>
  <sheetData>
    <row r="1" spans="1:3" ht="12.75">
      <c r="A1" s="126" t="s">
        <v>276</v>
      </c>
      <c r="B1" s="126"/>
      <c r="C1" s="126"/>
    </row>
    <row r="2" spans="1:3" ht="12.75">
      <c r="A2" s="126" t="s">
        <v>277</v>
      </c>
      <c r="B2" s="126"/>
      <c r="C2" s="126"/>
    </row>
    <row r="3" spans="1:3" ht="12.75">
      <c r="A3" s="128">
        <v>37035</v>
      </c>
      <c r="B3" s="126"/>
      <c r="C3" s="126"/>
    </row>
    <row r="4" ht="12.75">
      <c r="A4" s="129"/>
    </row>
    <row r="5" spans="1:11" ht="12.75">
      <c r="A5" s="126" t="s">
        <v>278</v>
      </c>
      <c r="B5" s="126"/>
      <c r="C5" s="130" t="s">
        <v>279</v>
      </c>
      <c r="D5" s="131" t="s">
        <v>280</v>
      </c>
      <c r="E5" s="132" t="s">
        <v>281</v>
      </c>
      <c r="F5" s="130" t="s">
        <v>282</v>
      </c>
      <c r="G5" s="131" t="s">
        <v>280</v>
      </c>
      <c r="H5" s="132" t="s">
        <v>281</v>
      </c>
      <c r="I5" s="130"/>
      <c r="J5" s="131"/>
      <c r="K5" s="132" t="s">
        <v>281</v>
      </c>
    </row>
    <row r="6" spans="1:11" ht="12.75">
      <c r="A6" s="126" t="s">
        <v>283</v>
      </c>
      <c r="B6" s="126"/>
      <c r="C6" s="133" t="s">
        <v>284</v>
      </c>
      <c r="D6" s="134" t="s">
        <v>285</v>
      </c>
      <c r="E6" s="135" t="s">
        <v>286</v>
      </c>
      <c r="F6" s="133" t="s">
        <v>284</v>
      </c>
      <c r="G6" s="134" t="s">
        <v>285</v>
      </c>
      <c r="H6" s="135" t="s">
        <v>286</v>
      </c>
      <c r="I6" s="133" t="s">
        <v>247</v>
      </c>
      <c r="J6" s="134" t="s">
        <v>287</v>
      </c>
      <c r="K6" s="135" t="s">
        <v>288</v>
      </c>
    </row>
    <row r="7" spans="1:11" ht="12.75">
      <c r="A7" s="129">
        <v>36819</v>
      </c>
      <c r="C7" s="136"/>
      <c r="D7" s="137"/>
      <c r="E7" s="138"/>
      <c r="F7" s="136"/>
      <c r="G7" s="137"/>
      <c r="H7" s="138"/>
      <c r="I7" s="136">
        <v>3220</v>
      </c>
      <c r="J7" s="137">
        <v>5</v>
      </c>
      <c r="K7" s="139">
        <f>(I7/J7)</f>
        <v>644</v>
      </c>
    </row>
    <row r="8" spans="1:11" ht="12.75">
      <c r="A8" s="129">
        <v>36917</v>
      </c>
      <c r="C8" s="136"/>
      <c r="D8" s="137"/>
      <c r="E8" s="138"/>
      <c r="F8" s="136">
        <f>(1045+220)</f>
        <v>1265</v>
      </c>
      <c r="G8" s="137">
        <v>1100</v>
      </c>
      <c r="H8" s="138">
        <f>(F8/G8)</f>
        <v>1.15</v>
      </c>
      <c r="I8" s="136"/>
      <c r="J8" s="137"/>
      <c r="K8" s="139"/>
    </row>
    <row r="9" spans="1:11" ht="12.75">
      <c r="A9" s="129">
        <v>36945</v>
      </c>
      <c r="C9" s="136"/>
      <c r="D9" s="137"/>
      <c r="E9" s="138"/>
      <c r="F9" s="136"/>
      <c r="G9" s="137"/>
      <c r="H9" s="138"/>
      <c r="I9" s="136">
        <v>2095</v>
      </c>
      <c r="J9" s="137">
        <v>7</v>
      </c>
      <c r="K9" s="139">
        <f aca="true" t="shared" si="0" ref="K9:K14">(I9/J9)</f>
        <v>299.2857142857143</v>
      </c>
    </row>
    <row r="10" spans="1:11" ht="12.75">
      <c r="A10" s="129">
        <v>36608</v>
      </c>
      <c r="C10" s="136">
        <v>545</v>
      </c>
      <c r="D10" s="137">
        <v>635</v>
      </c>
      <c r="E10" s="138">
        <f>(C10/D10)</f>
        <v>0.8582677165354331</v>
      </c>
      <c r="F10" s="136">
        <f>(1683+266+15)</f>
        <v>1964</v>
      </c>
      <c r="G10" s="137">
        <v>1772</v>
      </c>
      <c r="H10" s="138">
        <f>(F10/G10)</f>
        <v>1.108352144469526</v>
      </c>
      <c r="I10" s="136">
        <v>4610</v>
      </c>
      <c r="J10" s="137">
        <v>11</v>
      </c>
      <c r="K10" s="139">
        <f t="shared" si="0"/>
        <v>419.09090909090907</v>
      </c>
    </row>
    <row r="11" spans="1:11" ht="12.75">
      <c r="A11" s="129">
        <v>36683</v>
      </c>
      <c r="C11" s="136">
        <v>750</v>
      </c>
      <c r="D11" s="137">
        <v>635</v>
      </c>
      <c r="E11" s="138">
        <f>(C11/D11)</f>
        <v>1.1811023622047243</v>
      </c>
      <c r="F11" s="136">
        <f>(1726+443+12)</f>
        <v>2181</v>
      </c>
      <c r="G11" s="137">
        <v>1772</v>
      </c>
      <c r="H11" s="138">
        <f>(F11/G11)</f>
        <v>1.2308126410835214</v>
      </c>
      <c r="I11" s="136">
        <v>3524</v>
      </c>
      <c r="J11" s="137">
        <v>11</v>
      </c>
      <c r="K11" s="139">
        <f t="shared" si="0"/>
        <v>320.3636363636364</v>
      </c>
    </row>
    <row r="12" spans="1:11" ht="12.75">
      <c r="A12" s="129">
        <v>36640</v>
      </c>
      <c r="C12" s="136">
        <v>626</v>
      </c>
      <c r="D12" s="137">
        <v>1292</v>
      </c>
      <c r="E12" s="138">
        <f>(C12/D12)</f>
        <v>0.4845201238390093</v>
      </c>
      <c r="F12" s="136"/>
      <c r="G12" s="137"/>
      <c r="H12" s="138"/>
      <c r="I12" s="136">
        <v>4172</v>
      </c>
      <c r="J12" s="137">
        <v>9</v>
      </c>
      <c r="K12" s="139">
        <f t="shared" si="0"/>
        <v>463.55555555555554</v>
      </c>
    </row>
    <row r="13" spans="1:11" ht="12.75">
      <c r="A13" s="129">
        <v>36654</v>
      </c>
      <c r="C13" s="136">
        <v>740</v>
      </c>
      <c r="D13" s="137">
        <v>1292</v>
      </c>
      <c r="E13" s="138">
        <f>(C13/D13)</f>
        <v>0.5727554179566563</v>
      </c>
      <c r="F13" s="136"/>
      <c r="G13" s="137"/>
      <c r="H13" s="138"/>
      <c r="I13" s="136">
        <v>3355</v>
      </c>
      <c r="J13" s="137">
        <v>9</v>
      </c>
      <c r="K13" s="139">
        <f t="shared" si="0"/>
        <v>372.77777777777777</v>
      </c>
    </row>
    <row r="14" spans="1:11" ht="12.75">
      <c r="A14" s="129">
        <v>36949</v>
      </c>
      <c r="C14" s="136"/>
      <c r="D14" s="137"/>
      <c r="E14" s="138"/>
      <c r="F14" s="136"/>
      <c r="G14" s="137"/>
      <c r="H14" s="138"/>
      <c r="I14" s="136">
        <v>5590</v>
      </c>
      <c r="J14" s="137">
        <v>25</v>
      </c>
      <c r="K14" s="139">
        <f t="shared" si="0"/>
        <v>223.6</v>
      </c>
    </row>
    <row r="15" spans="1:11" ht="12.75">
      <c r="A15" s="129">
        <v>37026</v>
      </c>
      <c r="C15" s="136">
        <v>1886</v>
      </c>
      <c r="D15" s="137">
        <v>1536</v>
      </c>
      <c r="E15" s="138">
        <f>(C15/D15)</f>
        <v>1.2278645833333333</v>
      </c>
      <c r="F15" s="136"/>
      <c r="G15" s="137"/>
      <c r="H15" s="138"/>
      <c r="I15" s="136"/>
      <c r="J15" s="137"/>
      <c r="K15" s="139"/>
    </row>
    <row r="16" spans="3:11" ht="12.75">
      <c r="C16" s="136"/>
      <c r="D16" s="137"/>
      <c r="E16" s="140"/>
      <c r="F16" s="136"/>
      <c r="G16" s="137"/>
      <c r="H16" s="140"/>
      <c r="I16" s="136"/>
      <c r="J16" s="137"/>
      <c r="K16" s="140"/>
    </row>
    <row r="17" spans="1:12" ht="12.75">
      <c r="A17" s="126" t="s">
        <v>289</v>
      </c>
      <c r="B17" s="126"/>
      <c r="C17" s="141">
        <f>SUM(C7:C15)</f>
        <v>4547</v>
      </c>
      <c r="D17" s="142">
        <f>SUM(D7:D15)</f>
        <v>5390</v>
      </c>
      <c r="E17" s="143">
        <f>(C17/D17)</f>
        <v>0.8435992578849721</v>
      </c>
      <c r="F17" s="141">
        <f>SUM(F7:F15)</f>
        <v>5410</v>
      </c>
      <c r="G17" s="142">
        <f>SUM(G7:G15)</f>
        <v>4644</v>
      </c>
      <c r="H17" s="143">
        <f>(F17/G17)</f>
        <v>1.164944013781223</v>
      </c>
      <c r="I17" s="141">
        <f>SUM(I7:I15)</f>
        <v>26566</v>
      </c>
      <c r="J17" s="137">
        <f>SUM(J7:J15)</f>
        <v>77</v>
      </c>
      <c r="K17" s="144">
        <f>(I17/J17)</f>
        <v>345.012987012987</v>
      </c>
      <c r="L17" s="145">
        <f>K17/16</f>
        <v>21.56331168831169</v>
      </c>
    </row>
    <row r="18" spans="1:11" ht="12.75">
      <c r="A18" s="126"/>
      <c r="B18" s="126"/>
      <c r="C18" s="146"/>
      <c r="D18" s="126"/>
      <c r="E18" s="126"/>
      <c r="F18" s="146"/>
      <c r="G18" s="126"/>
      <c r="H18" s="126"/>
      <c r="I18" s="146"/>
      <c r="J18" s="126"/>
      <c r="K18" s="126"/>
    </row>
    <row r="19" spans="3:9" ht="12.75">
      <c r="C19" s="147"/>
      <c r="F19" s="147"/>
      <c r="I19" s="147"/>
    </row>
    <row r="20" spans="3:9" ht="12.75">
      <c r="C20" s="147"/>
      <c r="F20" s="147"/>
      <c r="I20" s="147"/>
    </row>
    <row r="21" spans="3:9" ht="12.75">
      <c r="C21" s="147"/>
      <c r="F21" s="147"/>
      <c r="I21" s="147"/>
    </row>
    <row r="22" spans="3:9" ht="12.75">
      <c r="C22" s="147"/>
      <c r="F22" s="147"/>
      <c r="I22" s="147"/>
    </row>
    <row r="23" spans="3:9" ht="12.75">
      <c r="C23" s="147"/>
      <c r="F23" s="147"/>
      <c r="I23" s="147"/>
    </row>
    <row r="24" spans="3:9" ht="12.75">
      <c r="C24" s="147"/>
      <c r="F24" s="147"/>
      <c r="I24" s="147"/>
    </row>
  </sheetData>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sheetPr codeName="Sheet10"/>
  <dimension ref="A1:T44"/>
  <sheetViews>
    <sheetView workbookViewId="0" topLeftCell="G1">
      <selection activeCell="H46" sqref="H46"/>
    </sheetView>
  </sheetViews>
  <sheetFormatPr defaultColWidth="9.140625" defaultRowHeight="12.75"/>
  <cols>
    <col min="1" max="1" width="9.8515625" style="148" customWidth="1"/>
    <col min="2" max="4" width="9.140625" style="148" customWidth="1"/>
    <col min="5" max="5" width="10.00390625" style="148" customWidth="1"/>
    <col min="6" max="6" width="9.140625" style="148" customWidth="1"/>
    <col min="7" max="7" width="13.140625" style="148" customWidth="1"/>
    <col min="8" max="11" width="9.140625" style="148" customWidth="1"/>
    <col min="12" max="12" width="10.140625" style="148" customWidth="1"/>
    <col min="13" max="13" width="9.140625" style="148" customWidth="1"/>
    <col min="14" max="14" width="12.00390625" style="148" customWidth="1"/>
    <col min="15" max="15" width="10.57421875" style="148" customWidth="1"/>
    <col min="16" max="16384" width="9.140625" style="148" customWidth="1"/>
  </cols>
  <sheetData>
    <row r="1" spans="1:20" ht="19.5" customHeight="1">
      <c r="A1" s="795" t="s">
        <v>290</v>
      </c>
      <c r="B1" s="796"/>
      <c r="C1" s="796"/>
      <c r="D1" s="796"/>
      <c r="E1" s="796"/>
      <c r="F1" s="796"/>
      <c r="G1" s="796"/>
      <c r="H1" s="796"/>
      <c r="I1" s="796"/>
      <c r="J1" s="796"/>
      <c r="K1" s="796"/>
      <c r="L1" s="796"/>
      <c r="M1" s="796"/>
      <c r="N1" s="796"/>
      <c r="O1" s="796"/>
      <c r="P1" s="796"/>
      <c r="Q1" s="796"/>
      <c r="R1" s="796"/>
      <c r="S1" s="796"/>
      <c r="T1" s="796"/>
    </row>
    <row r="2" spans="1:16" ht="12.75">
      <c r="A2" s="797" t="s">
        <v>291</v>
      </c>
      <c r="B2" s="799" t="s">
        <v>292</v>
      </c>
      <c r="C2" s="149" t="s">
        <v>293</v>
      </c>
      <c r="D2" s="150"/>
      <c r="E2" s="801" t="s">
        <v>294</v>
      </c>
      <c r="F2" s="793" t="s">
        <v>292</v>
      </c>
      <c r="G2" s="793" t="s">
        <v>295</v>
      </c>
      <c r="H2" s="793" t="s">
        <v>296</v>
      </c>
      <c r="I2" s="803" t="s">
        <v>297</v>
      </c>
      <c r="J2" s="149" t="s">
        <v>293</v>
      </c>
      <c r="K2" s="149"/>
      <c r="L2" s="805" t="s">
        <v>298</v>
      </c>
      <c r="M2" s="793" t="s">
        <v>292</v>
      </c>
      <c r="N2" s="807" t="s">
        <v>295</v>
      </c>
      <c r="O2" s="793" t="s">
        <v>296</v>
      </c>
      <c r="P2" s="151"/>
    </row>
    <row r="3" spans="1:16" ht="12.75">
      <c r="A3" s="798"/>
      <c r="B3" s="800"/>
      <c r="C3" s="152" t="s">
        <v>299</v>
      </c>
      <c r="D3" s="152" t="s">
        <v>243</v>
      </c>
      <c r="E3" s="802"/>
      <c r="F3" s="794"/>
      <c r="G3" s="794"/>
      <c r="H3" s="794"/>
      <c r="I3" s="804"/>
      <c r="J3" s="152" t="s">
        <v>299</v>
      </c>
      <c r="K3" s="152" t="s">
        <v>243</v>
      </c>
      <c r="L3" s="806"/>
      <c r="M3" s="794"/>
      <c r="N3" s="808"/>
      <c r="O3" s="794"/>
      <c r="P3" s="152" t="s">
        <v>243</v>
      </c>
    </row>
    <row r="4" spans="1:16" ht="12.75">
      <c r="A4" s="153" t="s">
        <v>300</v>
      </c>
      <c r="B4" s="154">
        <v>1140</v>
      </c>
      <c r="C4" s="155">
        <v>855</v>
      </c>
      <c r="D4" s="156">
        <f aca="true" t="shared" si="0" ref="D4:D9">C4/B4</f>
        <v>0.75</v>
      </c>
      <c r="E4" s="153" t="s">
        <v>301</v>
      </c>
      <c r="F4" s="154">
        <v>2029</v>
      </c>
      <c r="G4" s="157">
        <v>1450</v>
      </c>
      <c r="H4" s="157">
        <v>185</v>
      </c>
      <c r="I4" s="158">
        <v>50</v>
      </c>
      <c r="J4" s="158">
        <v>1685</v>
      </c>
      <c r="K4" s="159">
        <f>J4/F4</f>
        <v>0.830458353868901</v>
      </c>
      <c r="L4" s="153" t="s">
        <v>301</v>
      </c>
      <c r="M4" s="154">
        <v>1340</v>
      </c>
      <c r="N4" s="157">
        <v>830</v>
      </c>
      <c r="O4" s="157">
        <v>140</v>
      </c>
      <c r="P4" s="160">
        <f aca="true" t="shared" si="1" ref="P4:P13">N4/M4</f>
        <v>0.6194029850746269</v>
      </c>
    </row>
    <row r="5" spans="1:16" ht="12.75">
      <c r="A5" s="153" t="s">
        <v>300</v>
      </c>
      <c r="B5" s="154">
        <v>1170</v>
      </c>
      <c r="C5" s="157">
        <v>628</v>
      </c>
      <c r="D5" s="156">
        <f t="shared" si="0"/>
        <v>0.5367521367521367</v>
      </c>
      <c r="E5" s="153" t="s">
        <v>301</v>
      </c>
      <c r="F5" s="154">
        <v>1600</v>
      </c>
      <c r="G5" s="157">
        <v>3335</v>
      </c>
      <c r="H5" s="157"/>
      <c r="I5" s="158"/>
      <c r="J5" s="158">
        <v>3335</v>
      </c>
      <c r="K5" s="159">
        <f>J5/F5</f>
        <v>2.084375</v>
      </c>
      <c r="L5" s="153" t="s">
        <v>301</v>
      </c>
      <c r="M5" s="154">
        <v>710</v>
      </c>
      <c r="N5" s="157">
        <v>390.5</v>
      </c>
      <c r="O5" s="157">
        <v>100</v>
      </c>
      <c r="P5" s="160">
        <f t="shared" si="1"/>
        <v>0.55</v>
      </c>
    </row>
    <row r="6" spans="1:16" ht="12.75">
      <c r="A6" s="153" t="s">
        <v>300</v>
      </c>
      <c r="B6" s="154">
        <v>1181</v>
      </c>
      <c r="C6" s="157">
        <v>930</v>
      </c>
      <c r="D6" s="156">
        <f t="shared" si="0"/>
        <v>0.7874682472480948</v>
      </c>
      <c r="E6" s="153" t="s">
        <v>301</v>
      </c>
      <c r="F6" s="154">
        <v>1060</v>
      </c>
      <c r="G6" s="157">
        <v>435</v>
      </c>
      <c r="H6" s="157">
        <v>120</v>
      </c>
      <c r="I6" s="158">
        <v>40</v>
      </c>
      <c r="J6" s="158">
        <v>595</v>
      </c>
      <c r="K6" s="159">
        <f>J6/F6</f>
        <v>0.5613207547169812</v>
      </c>
      <c r="L6" s="153" t="s">
        <v>301</v>
      </c>
      <c r="M6" s="154">
        <v>998</v>
      </c>
      <c r="N6" s="157">
        <v>670</v>
      </c>
      <c r="O6" s="157">
        <v>154</v>
      </c>
      <c r="P6" s="160">
        <f t="shared" si="1"/>
        <v>0.6713426853707415</v>
      </c>
    </row>
    <row r="7" spans="1:16" ht="12.75">
      <c r="A7" s="153" t="s">
        <v>300</v>
      </c>
      <c r="B7" s="154">
        <v>1450</v>
      </c>
      <c r="C7" s="157">
        <v>1450</v>
      </c>
      <c r="D7" s="156">
        <f t="shared" si="0"/>
        <v>1</v>
      </c>
      <c r="E7" s="161" t="s">
        <v>302</v>
      </c>
      <c r="F7" s="162">
        <f aca="true" t="shared" si="2" ref="F7:K7">AVERAGE(F4:F6)</f>
        <v>1563</v>
      </c>
      <c r="G7" s="163">
        <f t="shared" si="2"/>
        <v>1740</v>
      </c>
      <c r="H7" s="163">
        <f t="shared" si="2"/>
        <v>152.5</v>
      </c>
      <c r="I7" s="163">
        <f t="shared" si="2"/>
        <v>45</v>
      </c>
      <c r="J7" s="163">
        <f t="shared" si="2"/>
        <v>1871.6666666666667</v>
      </c>
      <c r="K7" s="164">
        <f t="shared" si="2"/>
        <v>1.158718036195294</v>
      </c>
      <c r="L7" s="153" t="s">
        <v>301</v>
      </c>
      <c r="M7" s="154">
        <v>870</v>
      </c>
      <c r="N7" s="157">
        <v>540</v>
      </c>
      <c r="O7" s="157">
        <v>100</v>
      </c>
      <c r="P7" s="160">
        <f t="shared" si="1"/>
        <v>0.6206896551724138</v>
      </c>
    </row>
    <row r="8" spans="1:16" ht="12.75">
      <c r="A8" s="153" t="s">
        <v>300</v>
      </c>
      <c r="B8" s="154">
        <v>991</v>
      </c>
      <c r="C8" s="157">
        <v>812</v>
      </c>
      <c r="D8" s="156">
        <f t="shared" si="0"/>
        <v>0.8193743693239153</v>
      </c>
      <c r="E8" s="153"/>
      <c r="F8" s="154"/>
      <c r="G8" s="157"/>
      <c r="H8" s="157"/>
      <c r="I8" s="158"/>
      <c r="J8" s="158"/>
      <c r="K8" s="159"/>
      <c r="L8" s="153" t="s">
        <v>301</v>
      </c>
      <c r="M8" s="154">
        <v>1240</v>
      </c>
      <c r="N8" s="157">
        <v>870</v>
      </c>
      <c r="O8" s="157">
        <v>120</v>
      </c>
      <c r="P8" s="160">
        <f t="shared" si="1"/>
        <v>0.7016129032258065</v>
      </c>
    </row>
    <row r="9" spans="1:16" ht="12.75">
      <c r="A9" s="153" t="s">
        <v>300</v>
      </c>
      <c r="B9" s="154">
        <v>980</v>
      </c>
      <c r="C9" s="157">
        <v>744</v>
      </c>
      <c r="D9" s="156">
        <f t="shared" si="0"/>
        <v>0.7591836734693878</v>
      </c>
      <c r="E9" s="153" t="s">
        <v>303</v>
      </c>
      <c r="F9" s="154">
        <v>810</v>
      </c>
      <c r="G9" s="157">
        <v>600</v>
      </c>
      <c r="H9" s="157">
        <v>240</v>
      </c>
      <c r="I9" s="158"/>
      <c r="J9" s="158">
        <v>840</v>
      </c>
      <c r="K9" s="159">
        <f>J9/F9</f>
        <v>1.037037037037037</v>
      </c>
      <c r="L9" s="153" t="s">
        <v>301</v>
      </c>
      <c r="M9" s="154">
        <v>1060</v>
      </c>
      <c r="N9" s="157">
        <v>742</v>
      </c>
      <c r="O9" s="157">
        <v>55</v>
      </c>
      <c r="P9" s="160">
        <f t="shared" si="1"/>
        <v>0.7</v>
      </c>
    </row>
    <row r="10" spans="1:16" ht="12.75">
      <c r="A10" s="165"/>
      <c r="B10" s="154"/>
      <c r="C10" s="157"/>
      <c r="D10" s="156"/>
      <c r="E10" s="153" t="s">
        <v>303</v>
      </c>
      <c r="F10" s="154">
        <v>1070</v>
      </c>
      <c r="G10" s="157">
        <v>645</v>
      </c>
      <c r="H10" s="157">
        <v>180</v>
      </c>
      <c r="I10" s="158">
        <v>105</v>
      </c>
      <c r="J10" s="158">
        <v>930</v>
      </c>
      <c r="K10" s="159">
        <f>J10/F10</f>
        <v>0.8691588785046729</v>
      </c>
      <c r="L10" s="153" t="s">
        <v>301</v>
      </c>
      <c r="M10" s="154">
        <v>808</v>
      </c>
      <c r="N10" s="157">
        <v>565</v>
      </c>
      <c r="O10" s="157">
        <v>140</v>
      </c>
      <c r="P10" s="160">
        <f t="shared" si="1"/>
        <v>0.6992574257425742</v>
      </c>
    </row>
    <row r="11" spans="1:16" ht="12.75">
      <c r="A11" s="153" t="s">
        <v>300</v>
      </c>
      <c r="B11" s="154">
        <v>450</v>
      </c>
      <c r="C11" s="157">
        <v>405</v>
      </c>
      <c r="D11" s="156">
        <f>C11/B11</f>
        <v>0.9</v>
      </c>
      <c r="E11" s="161" t="s">
        <v>302</v>
      </c>
      <c r="F11" s="162">
        <f aca="true" t="shared" si="3" ref="F11:K11">AVERAGE(F9:F10)</f>
        <v>940</v>
      </c>
      <c r="G11" s="163">
        <f t="shared" si="3"/>
        <v>622.5</v>
      </c>
      <c r="H11" s="163">
        <f t="shared" si="3"/>
        <v>210</v>
      </c>
      <c r="I11" s="163">
        <f t="shared" si="3"/>
        <v>105</v>
      </c>
      <c r="J11" s="163">
        <f t="shared" si="3"/>
        <v>885</v>
      </c>
      <c r="K11" s="164">
        <f t="shared" si="3"/>
        <v>0.9530979577708549</v>
      </c>
      <c r="L11" s="153" t="s">
        <v>301</v>
      </c>
      <c r="M11" s="154">
        <v>720</v>
      </c>
      <c r="N11" s="157">
        <v>560</v>
      </c>
      <c r="O11" s="157">
        <v>103</v>
      </c>
      <c r="P11" s="160">
        <f t="shared" si="1"/>
        <v>0.7777777777777778</v>
      </c>
    </row>
    <row r="12" spans="1:16" ht="12.75">
      <c r="A12" s="153"/>
      <c r="B12" s="154"/>
      <c r="C12" s="157"/>
      <c r="D12" s="156"/>
      <c r="E12" s="153"/>
      <c r="F12" s="154"/>
      <c r="G12" s="157"/>
      <c r="H12" s="157"/>
      <c r="I12" s="158"/>
      <c r="J12" s="158"/>
      <c r="K12" s="159"/>
      <c r="L12" s="153" t="s">
        <v>301</v>
      </c>
      <c r="M12" s="154">
        <v>1131</v>
      </c>
      <c r="N12" s="157">
        <v>905</v>
      </c>
      <c r="O12" s="157">
        <v>235</v>
      </c>
      <c r="P12" s="160">
        <f t="shared" si="1"/>
        <v>0.8001768346595933</v>
      </c>
    </row>
    <row r="13" spans="1:16" ht="12.75">
      <c r="A13" s="153" t="s">
        <v>300</v>
      </c>
      <c r="B13" s="154">
        <v>595</v>
      </c>
      <c r="C13" s="157">
        <v>480</v>
      </c>
      <c r="D13" s="156">
        <f>C13/B13</f>
        <v>0.8067226890756303</v>
      </c>
      <c r="E13" s="153" t="s">
        <v>304</v>
      </c>
      <c r="F13" s="154">
        <v>720</v>
      </c>
      <c r="G13" s="157">
        <v>491</v>
      </c>
      <c r="H13" s="157">
        <v>90</v>
      </c>
      <c r="I13" s="158">
        <v>160</v>
      </c>
      <c r="J13" s="158">
        <v>741</v>
      </c>
      <c r="K13" s="159">
        <f>J13/F13</f>
        <v>1.0291666666666666</v>
      </c>
      <c r="L13" s="153" t="s">
        <v>301</v>
      </c>
      <c r="M13" s="154">
        <v>1635</v>
      </c>
      <c r="N13" s="157">
        <v>1195</v>
      </c>
      <c r="O13" s="157"/>
      <c r="P13" s="160">
        <f t="shared" si="1"/>
        <v>0.7308868501529052</v>
      </c>
    </row>
    <row r="14" spans="1:16" ht="12.75">
      <c r="A14" s="153"/>
      <c r="B14" s="154"/>
      <c r="C14" s="157"/>
      <c r="D14" s="156"/>
      <c r="E14" s="153" t="s">
        <v>304</v>
      </c>
      <c r="F14" s="154">
        <v>806</v>
      </c>
      <c r="G14" s="157">
        <v>440</v>
      </c>
      <c r="H14" s="157">
        <v>160</v>
      </c>
      <c r="I14" s="158">
        <v>105</v>
      </c>
      <c r="J14" s="158">
        <v>705</v>
      </c>
      <c r="K14" s="159">
        <f>J14/F14</f>
        <v>0.8746898263027295</v>
      </c>
      <c r="L14" s="161" t="s">
        <v>302</v>
      </c>
      <c r="M14" s="162">
        <f>AVERAGE(M4:M13)</f>
        <v>1051.2</v>
      </c>
      <c r="N14" s="163">
        <f>AVERAGE(N4:N13)</f>
        <v>726.75</v>
      </c>
      <c r="O14" s="163">
        <f>AVERAGE(O4:O13)</f>
        <v>127.44444444444444</v>
      </c>
      <c r="P14" s="164">
        <f>AVERAGE(P4:P13)</f>
        <v>0.6871147117176439</v>
      </c>
    </row>
    <row r="15" spans="1:16" ht="12.75">
      <c r="A15" s="153" t="s">
        <v>300</v>
      </c>
      <c r="B15" s="154">
        <v>1198</v>
      </c>
      <c r="C15" s="157">
        <v>990</v>
      </c>
      <c r="D15" s="156">
        <f aca="true" t="shared" si="4" ref="D15:D28">C15/B15</f>
        <v>0.8263772954924875</v>
      </c>
      <c r="E15" s="153" t="s">
        <v>304</v>
      </c>
      <c r="F15" s="154">
        <v>1635</v>
      </c>
      <c r="G15" s="157">
        <v>1280</v>
      </c>
      <c r="H15" s="157">
        <v>205</v>
      </c>
      <c r="I15" s="158">
        <v>80</v>
      </c>
      <c r="J15" s="158">
        <v>1565</v>
      </c>
      <c r="K15" s="159">
        <f>J15/F15</f>
        <v>0.9571865443425076</v>
      </c>
      <c r="L15" s="153"/>
      <c r="M15" s="154"/>
      <c r="N15" s="157"/>
      <c r="O15" s="157"/>
      <c r="P15" s="160"/>
    </row>
    <row r="16" spans="1:16" ht="12.75">
      <c r="A16" s="153" t="s">
        <v>300</v>
      </c>
      <c r="B16" s="154">
        <v>800</v>
      </c>
      <c r="C16" s="157">
        <v>700</v>
      </c>
      <c r="D16" s="156">
        <f t="shared" si="4"/>
        <v>0.875</v>
      </c>
      <c r="E16" s="161" t="s">
        <v>302</v>
      </c>
      <c r="F16" s="162">
        <f aca="true" t="shared" si="5" ref="F16:K16">AVERAGE(F13:F15)</f>
        <v>1053.6666666666667</v>
      </c>
      <c r="G16" s="163">
        <f t="shared" si="5"/>
        <v>737</v>
      </c>
      <c r="H16" s="163">
        <f t="shared" si="5"/>
        <v>151.66666666666666</v>
      </c>
      <c r="I16" s="163">
        <f t="shared" si="5"/>
        <v>115</v>
      </c>
      <c r="J16" s="163">
        <f t="shared" si="5"/>
        <v>1003.6666666666666</v>
      </c>
      <c r="K16" s="164">
        <f t="shared" si="5"/>
        <v>0.9536810124373013</v>
      </c>
      <c r="L16" s="153" t="s">
        <v>305</v>
      </c>
      <c r="M16" s="154">
        <v>1176</v>
      </c>
      <c r="N16" s="157">
        <v>940</v>
      </c>
      <c r="O16" s="157">
        <v>20</v>
      </c>
      <c r="P16" s="160">
        <f aca="true" t="shared" si="6" ref="P16:P24">N16/M16</f>
        <v>0.7993197278911565</v>
      </c>
    </row>
    <row r="17" spans="1:16" ht="12.75">
      <c r="A17" s="153" t="s">
        <v>300</v>
      </c>
      <c r="B17" s="154">
        <v>1530</v>
      </c>
      <c r="C17" s="157">
        <v>1445</v>
      </c>
      <c r="D17" s="156">
        <f t="shared" si="4"/>
        <v>0.9444444444444444</v>
      </c>
      <c r="E17" s="153"/>
      <c r="F17" s="154"/>
      <c r="G17" s="157"/>
      <c r="H17" s="157"/>
      <c r="I17" s="158"/>
      <c r="J17" s="158"/>
      <c r="K17" s="159"/>
      <c r="L17" s="153" t="s">
        <v>305</v>
      </c>
      <c r="M17" s="154">
        <v>1078</v>
      </c>
      <c r="N17" s="157">
        <v>910</v>
      </c>
      <c r="O17" s="157">
        <v>54</v>
      </c>
      <c r="P17" s="160">
        <f t="shared" si="6"/>
        <v>0.8441558441558441</v>
      </c>
    </row>
    <row r="18" spans="1:16" ht="12.75">
      <c r="A18" s="153" t="s">
        <v>300</v>
      </c>
      <c r="B18" s="154">
        <v>1078</v>
      </c>
      <c r="C18" s="157">
        <v>980</v>
      </c>
      <c r="D18" s="156">
        <f t="shared" si="4"/>
        <v>0.9090909090909091</v>
      </c>
      <c r="E18" s="153" t="s">
        <v>306</v>
      </c>
      <c r="F18" s="154">
        <v>1340</v>
      </c>
      <c r="G18" s="157">
        <v>817</v>
      </c>
      <c r="H18" s="157">
        <v>195</v>
      </c>
      <c r="I18" s="158"/>
      <c r="J18" s="158">
        <v>1082</v>
      </c>
      <c r="K18" s="159">
        <f aca="true" t="shared" si="7" ref="K18:K34">J18/F18</f>
        <v>0.8074626865671641</v>
      </c>
      <c r="L18" s="153" t="s">
        <v>305</v>
      </c>
      <c r="M18" s="154">
        <v>2029</v>
      </c>
      <c r="N18" s="157">
        <v>1685</v>
      </c>
      <c r="O18" s="157">
        <v>235</v>
      </c>
      <c r="P18" s="160">
        <f t="shared" si="6"/>
        <v>0.830458353868901</v>
      </c>
    </row>
    <row r="19" spans="1:16" ht="12.75">
      <c r="A19" s="153" t="s">
        <v>300</v>
      </c>
      <c r="B19" s="154">
        <v>847</v>
      </c>
      <c r="C19" s="157">
        <v>680</v>
      </c>
      <c r="D19" s="156">
        <f t="shared" si="4"/>
        <v>0.8028335301062574</v>
      </c>
      <c r="E19" s="153" t="s">
        <v>306</v>
      </c>
      <c r="F19" s="154">
        <v>396</v>
      </c>
      <c r="G19" s="157">
        <v>270</v>
      </c>
      <c r="H19" s="157">
        <v>135</v>
      </c>
      <c r="I19" s="158"/>
      <c r="J19" s="158">
        <v>405</v>
      </c>
      <c r="K19" s="159">
        <f t="shared" si="7"/>
        <v>1.0227272727272727</v>
      </c>
      <c r="L19" s="153" t="s">
        <v>305</v>
      </c>
      <c r="M19" s="154">
        <v>944</v>
      </c>
      <c r="N19" s="157">
        <v>715</v>
      </c>
      <c r="O19" s="157">
        <v>116</v>
      </c>
      <c r="P19" s="160">
        <f t="shared" si="6"/>
        <v>0.7574152542372882</v>
      </c>
    </row>
    <row r="20" spans="1:16" ht="12.75">
      <c r="A20" s="153" t="s">
        <v>300</v>
      </c>
      <c r="B20" s="154">
        <v>1418</v>
      </c>
      <c r="C20" s="157">
        <v>1067</v>
      </c>
      <c r="D20" s="156">
        <f t="shared" si="4"/>
        <v>0.7524682651622003</v>
      </c>
      <c r="E20" s="153" t="s">
        <v>306</v>
      </c>
      <c r="F20" s="154">
        <v>1176</v>
      </c>
      <c r="G20" s="157">
        <v>705</v>
      </c>
      <c r="H20" s="157">
        <v>240</v>
      </c>
      <c r="I20" s="158">
        <v>55</v>
      </c>
      <c r="J20" s="158">
        <v>1000</v>
      </c>
      <c r="K20" s="159">
        <f t="shared" si="7"/>
        <v>0.8503401360544217</v>
      </c>
      <c r="L20" s="153" t="s">
        <v>305</v>
      </c>
      <c r="M20" s="154">
        <v>1330</v>
      </c>
      <c r="N20" s="157">
        <v>1070</v>
      </c>
      <c r="O20" s="157">
        <v>180</v>
      </c>
      <c r="P20" s="160">
        <f t="shared" si="6"/>
        <v>0.8045112781954887</v>
      </c>
    </row>
    <row r="21" spans="1:16" ht="12.75">
      <c r="A21" s="153" t="s">
        <v>300</v>
      </c>
      <c r="B21" s="154">
        <v>1080</v>
      </c>
      <c r="C21" s="157">
        <v>1025</v>
      </c>
      <c r="D21" s="156">
        <f t="shared" si="4"/>
        <v>0.9490740740740741</v>
      </c>
      <c r="E21" s="153" t="s">
        <v>306</v>
      </c>
      <c r="F21" s="154">
        <v>998</v>
      </c>
      <c r="G21" s="157">
        <v>680</v>
      </c>
      <c r="H21" s="157">
        <v>230</v>
      </c>
      <c r="I21" s="158">
        <v>70</v>
      </c>
      <c r="J21" s="158">
        <v>980</v>
      </c>
      <c r="K21" s="159">
        <f t="shared" si="7"/>
        <v>0.9819639278557114</v>
      </c>
      <c r="L21" s="153" t="s">
        <v>305</v>
      </c>
      <c r="M21" s="154">
        <v>905</v>
      </c>
      <c r="N21" s="157">
        <v>775</v>
      </c>
      <c r="O21" s="157">
        <v>245</v>
      </c>
      <c r="P21" s="160">
        <f t="shared" si="6"/>
        <v>0.856353591160221</v>
      </c>
    </row>
    <row r="22" spans="1:16" ht="12.75">
      <c r="A22" s="153" t="s">
        <v>300</v>
      </c>
      <c r="B22" s="154">
        <v>1450</v>
      </c>
      <c r="C22" s="157">
        <v>1305</v>
      </c>
      <c r="D22" s="156">
        <f t="shared" si="4"/>
        <v>0.9</v>
      </c>
      <c r="E22" s="153" t="s">
        <v>306</v>
      </c>
      <c r="F22" s="154">
        <v>1078</v>
      </c>
      <c r="G22" s="157">
        <v>700</v>
      </c>
      <c r="H22" s="157">
        <v>228</v>
      </c>
      <c r="I22" s="158">
        <v>125</v>
      </c>
      <c r="J22" s="158">
        <v>1053</v>
      </c>
      <c r="K22" s="159">
        <f t="shared" si="7"/>
        <v>0.9768089053803339</v>
      </c>
      <c r="L22" s="153" t="s">
        <v>305</v>
      </c>
      <c r="M22" s="154">
        <v>1226</v>
      </c>
      <c r="N22" s="157">
        <v>1068</v>
      </c>
      <c r="O22" s="157">
        <v>45</v>
      </c>
      <c r="P22" s="160">
        <f t="shared" si="6"/>
        <v>0.8711256117455138</v>
      </c>
    </row>
    <row r="23" spans="1:16" ht="12.75">
      <c r="A23" s="153" t="s">
        <v>300</v>
      </c>
      <c r="B23" s="154">
        <v>320</v>
      </c>
      <c r="C23" s="157">
        <v>320</v>
      </c>
      <c r="D23" s="156">
        <f t="shared" si="4"/>
        <v>1</v>
      </c>
      <c r="E23" s="153" t="s">
        <v>306</v>
      </c>
      <c r="F23" s="154">
        <v>870</v>
      </c>
      <c r="G23" s="157">
        <v>550</v>
      </c>
      <c r="H23" s="157">
        <v>75</v>
      </c>
      <c r="I23" s="158">
        <v>50</v>
      </c>
      <c r="J23" s="158">
        <v>675</v>
      </c>
      <c r="K23" s="159">
        <f t="shared" si="7"/>
        <v>0.7758620689655172</v>
      </c>
      <c r="L23" s="153" t="s">
        <v>305</v>
      </c>
      <c r="M23" s="154">
        <v>1070</v>
      </c>
      <c r="N23" s="157">
        <v>1020</v>
      </c>
      <c r="O23" s="157">
        <v>50</v>
      </c>
      <c r="P23" s="160">
        <f t="shared" si="6"/>
        <v>0.9532710280373832</v>
      </c>
    </row>
    <row r="24" spans="1:16" ht="12.75">
      <c r="A24" s="153" t="s">
        <v>300</v>
      </c>
      <c r="B24" s="154">
        <v>217</v>
      </c>
      <c r="C24" s="157">
        <v>145</v>
      </c>
      <c r="D24" s="156">
        <f t="shared" si="4"/>
        <v>0.6682027649769585</v>
      </c>
      <c r="E24" s="153" t="s">
        <v>306</v>
      </c>
      <c r="F24" s="154">
        <v>1352</v>
      </c>
      <c r="G24" s="157">
        <v>815</v>
      </c>
      <c r="H24" s="157">
        <v>210</v>
      </c>
      <c r="I24" s="158">
        <v>65</v>
      </c>
      <c r="J24" s="158">
        <v>1090</v>
      </c>
      <c r="K24" s="159">
        <f t="shared" si="7"/>
        <v>0.8062130177514792</v>
      </c>
      <c r="L24" s="153" t="s">
        <v>305</v>
      </c>
      <c r="M24" s="154">
        <v>950</v>
      </c>
      <c r="N24" s="157">
        <v>810</v>
      </c>
      <c r="O24" s="157">
        <v>120</v>
      </c>
      <c r="P24" s="160">
        <f t="shared" si="6"/>
        <v>0.8526315789473684</v>
      </c>
    </row>
    <row r="25" spans="1:16" ht="12.75">
      <c r="A25" s="153" t="s">
        <v>300</v>
      </c>
      <c r="B25" s="154">
        <v>1730</v>
      </c>
      <c r="C25" s="157">
        <v>1730</v>
      </c>
      <c r="D25" s="156">
        <f t="shared" si="4"/>
        <v>1</v>
      </c>
      <c r="E25" s="153" t="s">
        <v>306</v>
      </c>
      <c r="F25" s="154">
        <v>976</v>
      </c>
      <c r="G25" s="157">
        <v>685</v>
      </c>
      <c r="H25" s="157">
        <v>125</v>
      </c>
      <c r="I25" s="158"/>
      <c r="J25" s="158">
        <v>810</v>
      </c>
      <c r="K25" s="159">
        <f t="shared" si="7"/>
        <v>0.8299180327868853</v>
      </c>
      <c r="L25" s="161" t="s">
        <v>302</v>
      </c>
      <c r="M25" s="162">
        <f>AVERAGE(M16:M24)</f>
        <v>1189.7777777777778</v>
      </c>
      <c r="N25" s="163">
        <f>AVERAGE(N16:N24)</f>
        <v>999.2222222222222</v>
      </c>
      <c r="O25" s="163">
        <f>AVERAGE(O16:O24)</f>
        <v>118.33333333333333</v>
      </c>
      <c r="P25" s="164">
        <f>AVERAGE(P16:P24)</f>
        <v>0.8410269186932405</v>
      </c>
    </row>
    <row r="26" spans="1:16" ht="12.75">
      <c r="A26" s="153" t="s">
        <v>300</v>
      </c>
      <c r="B26" s="166">
        <v>1310</v>
      </c>
      <c r="C26" s="157">
        <v>1106</v>
      </c>
      <c r="D26" s="156">
        <f t="shared" si="4"/>
        <v>0.8442748091603054</v>
      </c>
      <c r="E26" s="153" t="s">
        <v>306</v>
      </c>
      <c r="F26" s="154">
        <v>700</v>
      </c>
      <c r="G26" s="157">
        <v>545</v>
      </c>
      <c r="H26" s="157">
        <v>1095</v>
      </c>
      <c r="I26" s="158">
        <v>60</v>
      </c>
      <c r="J26" s="158">
        <v>1700</v>
      </c>
      <c r="K26" s="159">
        <f t="shared" si="7"/>
        <v>2.4285714285714284</v>
      </c>
      <c r="L26" s="153"/>
      <c r="M26" s="154"/>
      <c r="N26" s="157"/>
      <c r="O26" s="157"/>
      <c r="P26" s="160"/>
    </row>
    <row r="27" spans="1:16" ht="12.75">
      <c r="A27" s="153" t="s">
        <v>300</v>
      </c>
      <c r="B27" s="166">
        <v>880</v>
      </c>
      <c r="C27" s="157">
        <v>880</v>
      </c>
      <c r="D27" s="156">
        <f t="shared" si="4"/>
        <v>1</v>
      </c>
      <c r="E27" s="153" t="s">
        <v>306</v>
      </c>
      <c r="F27" s="154">
        <v>965</v>
      </c>
      <c r="G27" s="157">
        <v>785</v>
      </c>
      <c r="H27" s="157">
        <v>220</v>
      </c>
      <c r="I27" s="158">
        <v>40</v>
      </c>
      <c r="J27" s="158">
        <v>1045</v>
      </c>
      <c r="K27" s="159">
        <f t="shared" si="7"/>
        <v>1.0829015544041452</v>
      </c>
      <c r="L27" s="153" t="s">
        <v>304</v>
      </c>
      <c r="M27" s="154">
        <v>987</v>
      </c>
      <c r="N27" s="157">
        <v>840</v>
      </c>
      <c r="O27" s="157">
        <v>130</v>
      </c>
      <c r="P27" s="160">
        <f aca="true" t="shared" si="8" ref="P27:P32">N27/M27</f>
        <v>0.851063829787234</v>
      </c>
    </row>
    <row r="28" spans="1:16" ht="12.75">
      <c r="A28" s="153" t="s">
        <v>300</v>
      </c>
      <c r="B28" s="166">
        <v>1274</v>
      </c>
      <c r="C28" s="157">
        <v>1200</v>
      </c>
      <c r="D28" s="156">
        <f t="shared" si="4"/>
        <v>0.9419152276295133</v>
      </c>
      <c r="E28" s="153" t="s">
        <v>306</v>
      </c>
      <c r="F28" s="154">
        <v>519</v>
      </c>
      <c r="G28" s="157">
        <v>360</v>
      </c>
      <c r="H28" s="157">
        <v>270</v>
      </c>
      <c r="I28" s="158">
        <v>110</v>
      </c>
      <c r="J28" s="158">
        <v>740</v>
      </c>
      <c r="K28" s="159">
        <f t="shared" si="7"/>
        <v>1.4258188824662814</v>
      </c>
      <c r="L28" s="153" t="s">
        <v>304</v>
      </c>
      <c r="M28" s="154">
        <v>1014</v>
      </c>
      <c r="N28" s="157">
        <v>860</v>
      </c>
      <c r="O28" s="157">
        <v>70</v>
      </c>
      <c r="P28" s="160">
        <f t="shared" si="8"/>
        <v>0.8481262327416174</v>
      </c>
    </row>
    <row r="29" spans="1:16" ht="12.75" customHeight="1">
      <c r="A29" s="167" t="s">
        <v>293</v>
      </c>
      <c r="B29" s="168"/>
      <c r="C29" s="169"/>
      <c r="D29" s="170"/>
      <c r="E29" s="153" t="s">
        <v>306</v>
      </c>
      <c r="F29" s="154">
        <v>1370</v>
      </c>
      <c r="G29" s="157">
        <v>830</v>
      </c>
      <c r="H29" s="157">
        <v>194</v>
      </c>
      <c r="I29" s="158">
        <v>218</v>
      </c>
      <c r="J29" s="158">
        <v>1242</v>
      </c>
      <c r="K29" s="159">
        <f t="shared" si="7"/>
        <v>0.9065693430656935</v>
      </c>
      <c r="L29" s="153" t="s">
        <v>304</v>
      </c>
      <c r="M29" s="154">
        <v>1370</v>
      </c>
      <c r="N29" s="157">
        <v>1070</v>
      </c>
      <c r="O29" s="157">
        <v>155</v>
      </c>
      <c r="P29" s="160">
        <f t="shared" si="8"/>
        <v>0.781021897810219</v>
      </c>
    </row>
    <row r="30" spans="1:18" ht="0.75" customHeight="1">
      <c r="A30" s="171"/>
      <c r="C30" s="172"/>
      <c r="E30" s="153" t="s">
        <v>306</v>
      </c>
      <c r="F30" s="154">
        <v>616</v>
      </c>
      <c r="G30" s="157">
        <v>560</v>
      </c>
      <c r="H30" s="157">
        <v>245</v>
      </c>
      <c r="I30" s="158">
        <v>25</v>
      </c>
      <c r="J30" s="158">
        <v>830</v>
      </c>
      <c r="K30" s="159">
        <f t="shared" si="7"/>
        <v>1.3474025974025974</v>
      </c>
      <c r="L30" s="153" t="s">
        <v>304</v>
      </c>
      <c r="M30" s="154">
        <v>806</v>
      </c>
      <c r="N30" s="157">
        <v>765</v>
      </c>
      <c r="O30" s="157">
        <v>75</v>
      </c>
      <c r="P30" s="160">
        <f t="shared" si="8"/>
        <v>0.9491315136476427</v>
      </c>
      <c r="R30" s="173"/>
    </row>
    <row r="31" spans="1:16" ht="12.75">
      <c r="A31" s="161" t="s">
        <v>302</v>
      </c>
      <c r="B31" s="174">
        <v>1049</v>
      </c>
      <c r="C31" s="175">
        <v>864</v>
      </c>
      <c r="D31" s="176">
        <f>C31/B31</f>
        <v>0.8236415633937083</v>
      </c>
      <c r="E31" s="153" t="s">
        <v>306</v>
      </c>
      <c r="F31" s="154">
        <v>1453</v>
      </c>
      <c r="G31" s="157">
        <v>2284</v>
      </c>
      <c r="H31" s="157">
        <v>175</v>
      </c>
      <c r="I31" s="158"/>
      <c r="J31" s="158">
        <v>2459</v>
      </c>
      <c r="K31" s="159">
        <f t="shared" si="7"/>
        <v>1.692360633172746</v>
      </c>
      <c r="L31" s="153" t="s">
        <v>304</v>
      </c>
      <c r="M31" s="154">
        <v>1255</v>
      </c>
      <c r="N31" s="157">
        <v>1005</v>
      </c>
      <c r="O31" s="157">
        <v>205</v>
      </c>
      <c r="P31" s="160">
        <f t="shared" si="8"/>
        <v>0.8007968127490039</v>
      </c>
    </row>
    <row r="32" spans="1:16" ht="12.75">
      <c r="A32" s="177"/>
      <c r="C32" s="117"/>
      <c r="D32" s="117"/>
      <c r="E32" s="153" t="s">
        <v>306</v>
      </c>
      <c r="F32" s="154">
        <v>1030</v>
      </c>
      <c r="G32" s="157">
        <v>1090</v>
      </c>
      <c r="H32" s="157"/>
      <c r="I32" s="158"/>
      <c r="J32" s="158">
        <v>1090</v>
      </c>
      <c r="K32" s="159">
        <f t="shared" si="7"/>
        <v>1.058252427184466</v>
      </c>
      <c r="L32" s="178" t="s">
        <v>304</v>
      </c>
      <c r="M32" s="179">
        <v>920</v>
      </c>
      <c r="N32" s="180">
        <v>975</v>
      </c>
      <c r="O32" s="180"/>
      <c r="P32" s="160">
        <f t="shared" si="8"/>
        <v>1.059782608695652</v>
      </c>
    </row>
    <row r="33" spans="1:16" ht="12.75">
      <c r="A33" s="177"/>
      <c r="E33" s="153" t="s">
        <v>306</v>
      </c>
      <c r="F33" s="154">
        <v>1104</v>
      </c>
      <c r="G33" s="157">
        <v>809</v>
      </c>
      <c r="H33" s="157">
        <v>108</v>
      </c>
      <c r="I33" s="158"/>
      <c r="J33" s="158">
        <v>917</v>
      </c>
      <c r="K33" s="159">
        <f t="shared" si="7"/>
        <v>0.8306159420289855</v>
      </c>
      <c r="L33" s="181" t="s">
        <v>302</v>
      </c>
      <c r="M33" s="162">
        <f>AVERAGE(M27:M32)</f>
        <v>1058.6666666666667</v>
      </c>
      <c r="N33" s="182">
        <f>AVERAGE(N27:N32)</f>
        <v>919.1666666666666</v>
      </c>
      <c r="O33" s="182">
        <f>AVERAGE(O27:O32)</f>
        <v>127</v>
      </c>
      <c r="P33" s="164">
        <f>AVERAGE(P27:P32)</f>
        <v>0.8816538159052282</v>
      </c>
    </row>
    <row r="34" spans="5:16" ht="12.75">
      <c r="E34" s="153" t="s">
        <v>306</v>
      </c>
      <c r="F34" s="154">
        <v>456</v>
      </c>
      <c r="G34" s="157">
        <v>500</v>
      </c>
      <c r="H34" s="157">
        <v>60</v>
      </c>
      <c r="I34" s="158">
        <v>60</v>
      </c>
      <c r="J34" s="158">
        <v>620</v>
      </c>
      <c r="K34" s="159">
        <f t="shared" si="7"/>
        <v>1.3596491228070176</v>
      </c>
      <c r="N34" s="173"/>
      <c r="P34" s="183"/>
    </row>
    <row r="35" spans="5:16" ht="12.75">
      <c r="E35" s="161" t="s">
        <v>302</v>
      </c>
      <c r="F35" s="162">
        <f aca="true" t="shared" si="9" ref="F35:K35">AVERAGE(F18:F34)</f>
        <v>964.6470588235294</v>
      </c>
      <c r="G35" s="163">
        <f t="shared" si="9"/>
        <v>763.8235294117648</v>
      </c>
      <c r="H35" s="163">
        <f t="shared" si="9"/>
        <v>237.8125</v>
      </c>
      <c r="I35" s="163">
        <f t="shared" si="9"/>
        <v>79.81818181818181</v>
      </c>
      <c r="J35" s="163">
        <f t="shared" si="9"/>
        <v>1043.4117647058824</v>
      </c>
      <c r="K35" s="164">
        <f t="shared" si="9"/>
        <v>1.1284375281877732</v>
      </c>
      <c r="L35" s="184" t="s">
        <v>302</v>
      </c>
      <c r="M35" s="185">
        <v>1102</v>
      </c>
      <c r="N35" s="186">
        <v>871</v>
      </c>
      <c r="O35" s="187">
        <v>124</v>
      </c>
      <c r="P35" s="187">
        <f>N35/M35</f>
        <v>0.7903811252268602</v>
      </c>
    </row>
    <row r="36" spans="7:16" ht="12.75">
      <c r="G36" s="172"/>
      <c r="H36" s="172"/>
      <c r="I36" s="172"/>
      <c r="J36" s="172"/>
      <c r="K36" s="159"/>
      <c r="N36" s="117"/>
      <c r="O36" s="188"/>
      <c r="P36" s="183"/>
    </row>
    <row r="37" spans="5:15" ht="12.75">
      <c r="E37" s="184" t="s">
        <v>302</v>
      </c>
      <c r="F37" s="185">
        <v>1008</v>
      </c>
      <c r="G37" s="189">
        <v>814</v>
      </c>
      <c r="H37" s="190">
        <v>217</v>
      </c>
      <c r="I37" s="189">
        <v>83</v>
      </c>
      <c r="J37" s="189">
        <v>1125</v>
      </c>
      <c r="K37" s="186">
        <f>J37/F37</f>
        <v>1.1160714285714286</v>
      </c>
      <c r="O37" s="188"/>
    </row>
    <row r="38" spans="7:15" ht="12.75">
      <c r="G38" s="117"/>
      <c r="O38" s="188"/>
    </row>
    <row r="39" spans="1:15" ht="12.75">
      <c r="A39" s="177" t="s">
        <v>307</v>
      </c>
      <c r="G39" s="254" t="s">
        <v>435</v>
      </c>
      <c r="I39" s="254" t="s">
        <v>432</v>
      </c>
      <c r="L39" s="254" t="s">
        <v>431</v>
      </c>
      <c r="O39" s="188"/>
    </row>
    <row r="40" spans="7:13" ht="12.75">
      <c r="G40" s="254" t="s">
        <v>436</v>
      </c>
      <c r="H40" s="173">
        <f>D31</f>
        <v>0.8236415633937083</v>
      </c>
      <c r="I40" s="254" t="s">
        <v>426</v>
      </c>
      <c r="J40" s="173">
        <f>K6</f>
        <v>0.5613207547169812</v>
      </c>
      <c r="L40" s="254" t="s">
        <v>426</v>
      </c>
      <c r="M40" s="173">
        <f>P14</f>
        <v>0.6871147117176439</v>
      </c>
    </row>
    <row r="41" spans="1:13" ht="12.75">
      <c r="A41" s="177" t="s">
        <v>308</v>
      </c>
      <c r="I41" s="254" t="s">
        <v>428</v>
      </c>
      <c r="J41" s="173">
        <f>K16</f>
        <v>0.9536810124373013</v>
      </c>
      <c r="L41" s="254" t="s">
        <v>427</v>
      </c>
      <c r="M41" s="173">
        <f>P25</f>
        <v>0.8410269186932405</v>
      </c>
    </row>
    <row r="42" spans="9:13" ht="12.75">
      <c r="I42" s="254" t="s">
        <v>433</v>
      </c>
      <c r="J42" s="173">
        <f>K35</f>
        <v>1.1284375281877732</v>
      </c>
      <c r="L42" s="254" t="s">
        <v>428</v>
      </c>
      <c r="M42" s="173">
        <f>P33</f>
        <v>0.8816538159052282</v>
      </c>
    </row>
    <row r="43" spans="9:13" ht="12.75">
      <c r="I43" s="254" t="s">
        <v>429</v>
      </c>
      <c r="J43" s="173">
        <f>J41-J40</f>
        <v>0.3923602577203201</v>
      </c>
      <c r="L43" s="254" t="s">
        <v>430</v>
      </c>
      <c r="M43" s="173">
        <f>M42-M41</f>
        <v>0.040626897211987645</v>
      </c>
    </row>
    <row r="44" spans="9:13" ht="12.75">
      <c r="I44" s="254" t="s">
        <v>434</v>
      </c>
      <c r="J44" s="173">
        <f>J42-J40</f>
        <v>0.567116773470792</v>
      </c>
      <c r="L44" s="254" t="s">
        <v>429</v>
      </c>
      <c r="M44" s="173">
        <f>M42-M40</f>
        <v>0.19453910418758424</v>
      </c>
    </row>
  </sheetData>
  <mergeCells count="12">
    <mergeCell ref="L2:L3"/>
    <mergeCell ref="N2:N3"/>
    <mergeCell ref="O2:O3"/>
    <mergeCell ref="A1:T1"/>
    <mergeCell ref="A2:A3"/>
    <mergeCell ref="B2:B3"/>
    <mergeCell ref="E2:E3"/>
    <mergeCell ref="F2:F3"/>
    <mergeCell ref="G2:G3"/>
    <mergeCell ref="H2:H3"/>
    <mergeCell ref="M2:M3"/>
    <mergeCell ref="I2:I3"/>
  </mergeCells>
  <printOptions horizontalCentered="1" verticalCentered="1"/>
  <pageMargins left="0.5" right="0.5" top="1" bottom="1" header="0.5" footer="0.5"/>
  <pageSetup horizontalDpi="300" verticalDpi="300" orientation="landscape" paperSize="5" r:id="rId1"/>
</worksheet>
</file>

<file path=xl/worksheets/sheet13.xml><?xml version="1.0" encoding="utf-8"?>
<worksheet xmlns="http://schemas.openxmlformats.org/spreadsheetml/2006/main" xmlns:r="http://schemas.openxmlformats.org/officeDocument/2006/relationships">
  <sheetPr codeName="Sheet11"/>
  <dimension ref="A1:H37"/>
  <sheetViews>
    <sheetView workbookViewId="0" topLeftCell="A19">
      <selection activeCell="J12" sqref="J12"/>
    </sheetView>
  </sheetViews>
  <sheetFormatPr defaultColWidth="9.140625" defaultRowHeight="12.75"/>
  <cols>
    <col min="1" max="1" width="24.421875" style="120" customWidth="1"/>
    <col min="2" max="2" width="14.57421875" style="120" customWidth="1"/>
    <col min="3" max="3" width="15.00390625" style="120" customWidth="1"/>
    <col min="4" max="5" width="13.7109375" style="120" customWidth="1"/>
    <col min="6" max="6" width="11.421875" style="120" customWidth="1"/>
    <col min="7" max="8" width="9.7109375" style="120" customWidth="1"/>
    <col min="9" max="9" width="11.57421875" style="120" customWidth="1"/>
    <col min="10" max="10" width="18.57421875" style="120" customWidth="1"/>
    <col min="11" max="11" width="11.57421875" style="120" customWidth="1"/>
    <col min="12" max="16384" width="11.421875" style="120" customWidth="1"/>
  </cols>
  <sheetData>
    <row r="1" spans="1:8" ht="15.75">
      <c r="A1" s="191" t="s">
        <v>309</v>
      </c>
      <c r="B1" s="192" t="s">
        <v>310</v>
      </c>
      <c r="C1" s="192"/>
      <c r="D1" s="193" t="s">
        <v>311</v>
      </c>
      <c r="E1" s="192"/>
      <c r="F1" s="194"/>
      <c r="G1" s="194"/>
      <c r="H1" s="195"/>
    </row>
    <row r="2" spans="1:8" ht="15.75">
      <c r="A2" s="191"/>
      <c r="B2" s="191">
        <v>1993</v>
      </c>
      <c r="C2" s="196">
        <v>1994</v>
      </c>
      <c r="D2" s="191">
        <v>1993</v>
      </c>
      <c r="E2" s="196">
        <v>1994</v>
      </c>
      <c r="F2" s="194"/>
      <c r="G2" s="194"/>
      <c r="H2" s="195"/>
    </row>
    <row r="3" spans="1:7" ht="15.75">
      <c r="A3" s="191" t="s">
        <v>57</v>
      </c>
      <c r="B3" s="191" t="s">
        <v>312</v>
      </c>
      <c r="C3" s="191" t="s">
        <v>312</v>
      </c>
      <c r="D3" s="191" t="s">
        <v>312</v>
      </c>
      <c r="E3" s="191" t="s">
        <v>312</v>
      </c>
      <c r="F3" s="194"/>
      <c r="G3" s="194"/>
    </row>
    <row r="4" spans="1:7" ht="15.75">
      <c r="A4" s="191" t="s">
        <v>313</v>
      </c>
      <c r="B4" s="197">
        <v>0.4</v>
      </c>
      <c r="C4" s="197">
        <v>0.35</v>
      </c>
      <c r="D4" s="197" t="s">
        <v>314</v>
      </c>
      <c r="E4" s="197" t="s">
        <v>314</v>
      </c>
      <c r="F4" s="194"/>
      <c r="G4" s="194"/>
    </row>
    <row r="5" spans="1:7" ht="15.75">
      <c r="A5" s="191" t="s">
        <v>315</v>
      </c>
      <c r="B5" s="197">
        <v>0.39</v>
      </c>
      <c r="C5" s="197">
        <v>0.39</v>
      </c>
      <c r="D5" s="197">
        <v>0.33</v>
      </c>
      <c r="E5" s="197" t="s">
        <v>314</v>
      </c>
      <c r="F5" s="194"/>
      <c r="G5" s="194"/>
    </row>
    <row r="6" spans="1:7" ht="15.75">
      <c r="A6" s="191" t="s">
        <v>316</v>
      </c>
      <c r="B6" s="197">
        <v>0.47</v>
      </c>
      <c r="C6" s="197">
        <v>0.49</v>
      </c>
      <c r="D6" s="197">
        <v>0.5</v>
      </c>
      <c r="E6" s="197" t="s">
        <v>314</v>
      </c>
      <c r="F6" s="194"/>
      <c r="G6" s="194"/>
    </row>
    <row r="7" spans="1:7" ht="15.75">
      <c r="A7" s="191" t="s">
        <v>317</v>
      </c>
      <c r="B7" s="197">
        <v>0.57</v>
      </c>
      <c r="C7" s="197">
        <v>0.57</v>
      </c>
      <c r="D7" s="197" t="s">
        <v>314</v>
      </c>
      <c r="E7" s="197" t="s">
        <v>314</v>
      </c>
      <c r="F7" s="194"/>
      <c r="G7" s="194"/>
    </row>
    <row r="8" spans="1:7" ht="15.75">
      <c r="A8" s="191"/>
      <c r="B8" s="197"/>
      <c r="C8" s="197"/>
      <c r="D8" s="197"/>
      <c r="E8" s="197"/>
      <c r="F8" s="194"/>
      <c r="G8" s="194"/>
    </row>
    <row r="9" spans="1:7" ht="15.75">
      <c r="A9" s="191" t="s">
        <v>318</v>
      </c>
      <c r="B9" s="197">
        <v>0.58</v>
      </c>
      <c r="C9" s="197">
        <v>0.63</v>
      </c>
      <c r="D9" s="197">
        <v>0.48</v>
      </c>
      <c r="E9" s="197">
        <v>0.6</v>
      </c>
      <c r="F9" s="194"/>
      <c r="G9" s="194"/>
    </row>
    <row r="10" spans="1:7" ht="15.75">
      <c r="A10" s="191" t="s">
        <v>319</v>
      </c>
      <c r="B10" s="197">
        <v>0.68</v>
      </c>
      <c r="C10" s="197">
        <v>0.66</v>
      </c>
      <c r="D10" s="197">
        <v>0.62</v>
      </c>
      <c r="E10" s="197">
        <v>0.63</v>
      </c>
      <c r="F10" s="194"/>
      <c r="G10" s="194"/>
    </row>
    <row r="11" spans="1:7" ht="15.75">
      <c r="A11" s="191" t="s">
        <v>320</v>
      </c>
      <c r="B11" s="197">
        <v>0.8</v>
      </c>
      <c r="C11" s="197">
        <v>0.73</v>
      </c>
      <c r="D11" s="197" t="s">
        <v>314</v>
      </c>
      <c r="E11" s="197" t="s">
        <v>314</v>
      </c>
      <c r="F11" s="194"/>
      <c r="G11" s="194"/>
    </row>
    <row r="12" spans="1:7" ht="15.75">
      <c r="A12" s="191"/>
      <c r="B12" s="197"/>
      <c r="C12" s="197"/>
      <c r="D12" s="197"/>
      <c r="E12" s="197"/>
      <c r="F12" s="194"/>
      <c r="G12" s="194"/>
    </row>
    <row r="13" spans="1:7" ht="15.75">
      <c r="A13" s="191" t="s">
        <v>321</v>
      </c>
      <c r="B13" s="197">
        <v>0.77</v>
      </c>
      <c r="C13" s="197">
        <v>0.79</v>
      </c>
      <c r="D13" s="197" t="s">
        <v>314</v>
      </c>
      <c r="E13" s="197" t="s">
        <v>314</v>
      </c>
      <c r="F13" s="194"/>
      <c r="G13" s="194"/>
    </row>
    <row r="14" spans="1:7" ht="15.75">
      <c r="A14" s="191"/>
      <c r="B14" s="197"/>
      <c r="C14" s="197"/>
      <c r="D14" s="197"/>
      <c r="E14" s="197"/>
      <c r="F14" s="194"/>
      <c r="G14" s="194"/>
    </row>
    <row r="15" spans="1:7" ht="31.5">
      <c r="A15" s="198" t="s">
        <v>322</v>
      </c>
      <c r="B15" s="197">
        <v>12.23</v>
      </c>
      <c r="C15" s="197">
        <v>14.89</v>
      </c>
      <c r="D15" s="197">
        <v>9.81</v>
      </c>
      <c r="E15" s="197">
        <v>11.77</v>
      </c>
      <c r="F15" s="194"/>
      <c r="G15" s="194"/>
    </row>
    <row r="16" spans="1:7" ht="15.75">
      <c r="A16" s="191"/>
      <c r="B16" s="191"/>
      <c r="C16" s="191"/>
      <c r="D16" s="191"/>
      <c r="E16" s="191"/>
      <c r="F16" s="194"/>
      <c r="G16" s="194"/>
    </row>
    <row r="17" spans="1:7" ht="15.75">
      <c r="A17" s="191"/>
      <c r="B17" s="191"/>
      <c r="C17" s="191"/>
      <c r="D17" s="191"/>
      <c r="E17" s="191"/>
      <c r="F17" s="194"/>
      <c r="G17" s="194"/>
    </row>
    <row r="18" spans="1:7" ht="15.75">
      <c r="A18" s="192" t="s">
        <v>323</v>
      </c>
      <c r="B18" s="191"/>
      <c r="C18" s="191">
        <v>1994</v>
      </c>
      <c r="D18" s="191"/>
      <c r="E18" s="191">
        <v>1994</v>
      </c>
      <c r="F18" s="194">
        <v>1994</v>
      </c>
      <c r="G18" s="194"/>
    </row>
    <row r="19" spans="1:7" ht="30.75">
      <c r="A19" s="191"/>
      <c r="B19" s="191"/>
      <c r="C19" s="191" t="s">
        <v>310</v>
      </c>
      <c r="D19" s="191"/>
      <c r="E19" s="192" t="s">
        <v>311</v>
      </c>
      <c r="F19" s="199" t="s">
        <v>324</v>
      </c>
      <c r="G19" s="194"/>
    </row>
    <row r="20" spans="1:7" ht="15.75">
      <c r="A20" s="191" t="s">
        <v>57</v>
      </c>
      <c r="B20" s="191"/>
      <c r="C20" s="191" t="s">
        <v>325</v>
      </c>
      <c r="D20" s="191"/>
      <c r="E20" s="191" t="s">
        <v>325</v>
      </c>
      <c r="F20" s="194" t="s">
        <v>325</v>
      </c>
      <c r="G20" s="194"/>
    </row>
    <row r="21" spans="1:7" ht="15.75">
      <c r="A21" s="191" t="s">
        <v>317</v>
      </c>
      <c r="B21" s="191"/>
      <c r="C21" s="197">
        <f>32743/33537</f>
        <v>0.9763246563497033</v>
      </c>
      <c r="D21" s="191"/>
      <c r="E21" s="197">
        <f>692/642</f>
        <v>1.0778816199376946</v>
      </c>
      <c r="F21" s="200">
        <f>5622/4851</f>
        <v>1.1589363017934446</v>
      </c>
      <c r="G21" s="194"/>
    </row>
    <row r="22" spans="1:7" ht="15.75">
      <c r="A22" s="191" t="s">
        <v>326</v>
      </c>
      <c r="B22" s="191"/>
      <c r="C22" s="197">
        <f>90976/149342</f>
        <v>0.6091789315798637</v>
      </c>
      <c r="D22" s="191"/>
      <c r="E22" s="197">
        <f>42597/83907</f>
        <v>0.507669205191462</v>
      </c>
      <c r="F22" s="200">
        <f>48100/64726</f>
        <v>0.7431325896857522</v>
      </c>
      <c r="G22" s="194"/>
    </row>
    <row r="23" spans="1:7" ht="15.75">
      <c r="A23" s="192" t="s">
        <v>327</v>
      </c>
      <c r="B23" s="191"/>
      <c r="C23" s="197">
        <f>34027/59788</f>
        <v>0.5691275841305947</v>
      </c>
      <c r="D23" s="191"/>
      <c r="E23" s="197">
        <f>7920/17069</f>
        <v>0.4639990626281563</v>
      </c>
      <c r="F23" s="200" t="s">
        <v>314</v>
      </c>
      <c r="G23" s="194"/>
    </row>
    <row r="24" spans="1:7" ht="15.75">
      <c r="A24" s="191" t="s">
        <v>328</v>
      </c>
      <c r="B24" s="191"/>
      <c r="C24" s="197">
        <f>8856/19935</f>
        <v>0.44424379232505645</v>
      </c>
      <c r="D24" s="191"/>
      <c r="E24" s="197">
        <f>87441/200793</f>
        <v>0.43547832842778383</v>
      </c>
      <c r="F24" s="200">
        <f>20346/24214</f>
        <v>0.8402577021557777</v>
      </c>
      <c r="G24" s="194"/>
    </row>
    <row r="25" spans="1:7" ht="15.75">
      <c r="A25" s="191"/>
      <c r="B25" s="191"/>
      <c r="C25" s="191"/>
      <c r="D25" s="191"/>
      <c r="E25" s="191"/>
      <c r="F25" s="194"/>
      <c r="G25" s="194"/>
    </row>
    <row r="26" spans="1:7" ht="15.75">
      <c r="A26" s="191" t="s">
        <v>318</v>
      </c>
      <c r="B26" s="191"/>
      <c r="C26" s="197">
        <f>189968/206196</f>
        <v>0.921298182311975</v>
      </c>
      <c r="D26" s="191"/>
      <c r="E26" s="197">
        <f>37991/52025</f>
        <v>0.7302450744834215</v>
      </c>
      <c r="F26" s="200">
        <f>33526/29869</f>
        <v>1.1224346312230071</v>
      </c>
      <c r="G26" s="194"/>
    </row>
    <row r="27" spans="1:7" ht="15.75">
      <c r="A27" s="192" t="s">
        <v>319</v>
      </c>
      <c r="B27" s="191"/>
      <c r="C27" s="197">
        <f>212070/217977</f>
        <v>0.9729008106359845</v>
      </c>
      <c r="D27" s="191"/>
      <c r="E27" s="197">
        <f>28049/33334</f>
        <v>0.8414531709365812</v>
      </c>
      <c r="F27" s="200">
        <f>38557/34901</f>
        <v>1.1047534454600154</v>
      </c>
      <c r="G27" s="194"/>
    </row>
    <row r="28" spans="1:7" ht="15.75">
      <c r="A28" s="192" t="s">
        <v>320</v>
      </c>
      <c r="B28" s="191"/>
      <c r="C28" s="197">
        <f>149856/144649</f>
        <v>1.035997483563661</v>
      </c>
      <c r="D28" s="191"/>
      <c r="E28" s="197">
        <f>49099/50203</f>
        <v>0.9780092823138059</v>
      </c>
      <c r="F28" s="200">
        <f>41592/36789</f>
        <v>1.1305553290385713</v>
      </c>
      <c r="G28" s="194"/>
    </row>
    <row r="29" spans="1:7" ht="15.75">
      <c r="A29" s="191"/>
      <c r="B29" s="191"/>
      <c r="C29" s="191"/>
      <c r="D29" s="191"/>
      <c r="E29" s="191"/>
      <c r="F29" s="194"/>
      <c r="G29" s="194"/>
    </row>
    <row r="30" spans="1:7" ht="15.75">
      <c r="A30" s="191" t="s">
        <v>321</v>
      </c>
      <c r="B30" s="191"/>
      <c r="C30" s="197">
        <f>40249/61941</f>
        <v>0.6497957733972651</v>
      </c>
      <c r="D30" s="191"/>
      <c r="E30" s="197">
        <f>3607/6529</f>
        <v>0.5524582631337112</v>
      </c>
      <c r="F30" s="200">
        <f>14272/14937</f>
        <v>0.9554796813282453</v>
      </c>
      <c r="G30" s="194"/>
    </row>
    <row r="31" spans="1:7" ht="15.75">
      <c r="A31" s="191" t="s">
        <v>329</v>
      </c>
      <c r="B31" s="191"/>
      <c r="C31" s="197">
        <f>56141/82283</f>
        <v>0.6822916033688611</v>
      </c>
      <c r="D31" s="191"/>
      <c r="E31" s="197">
        <f>2584/3575</f>
        <v>0.7227972027972028</v>
      </c>
      <c r="F31" s="200">
        <f>9756/10424</f>
        <v>0.9359171143514965</v>
      </c>
      <c r="G31" s="194"/>
    </row>
    <row r="32" spans="1:7" ht="15.75">
      <c r="A32" s="191"/>
      <c r="B32" s="191"/>
      <c r="C32" s="191"/>
      <c r="D32" s="191"/>
      <c r="E32" s="191"/>
      <c r="F32" s="194"/>
      <c r="G32" s="194"/>
    </row>
    <row r="33" spans="1:7" ht="31.5">
      <c r="A33" s="198" t="s">
        <v>322</v>
      </c>
      <c r="B33" s="191"/>
      <c r="C33" s="197">
        <v>15.02</v>
      </c>
      <c r="D33" s="191"/>
      <c r="E33" s="197">
        <v>10.94</v>
      </c>
      <c r="F33" s="200">
        <f>512958/36247</f>
        <v>14.151736695450658</v>
      </c>
      <c r="G33" s="194" t="s">
        <v>330</v>
      </c>
    </row>
    <row r="34" spans="1:7" ht="15.75">
      <c r="A34" s="191"/>
      <c r="B34" s="191"/>
      <c r="C34" s="191"/>
      <c r="D34" s="191"/>
      <c r="E34" s="191"/>
      <c r="F34" s="194"/>
      <c r="G34" s="194"/>
    </row>
    <row r="35" spans="1:7" ht="15.75">
      <c r="A35" s="191" t="s">
        <v>331</v>
      </c>
      <c r="B35" s="191"/>
      <c r="C35" s="197">
        <f>8380/2393</f>
        <v>3.501880484747179</v>
      </c>
      <c r="D35" s="191"/>
      <c r="E35" s="197">
        <f>2109/610</f>
        <v>3.457377049180328</v>
      </c>
      <c r="F35" s="200" t="s">
        <v>314</v>
      </c>
      <c r="G35" s="194"/>
    </row>
    <row r="36" spans="1:7" ht="15.75">
      <c r="A36" s="191" t="s">
        <v>332</v>
      </c>
      <c r="B36" s="191"/>
      <c r="C36" s="197">
        <f>10058/2810</f>
        <v>3.579359430604982</v>
      </c>
      <c r="D36" s="191"/>
      <c r="E36" s="197" t="s">
        <v>314</v>
      </c>
      <c r="F36" s="200" t="s">
        <v>314</v>
      </c>
      <c r="G36" s="194"/>
    </row>
    <row r="37" spans="1:7" ht="15.75">
      <c r="A37" s="191" t="s">
        <v>333</v>
      </c>
      <c r="B37" s="191"/>
      <c r="C37" s="197">
        <f>20002/3971</f>
        <v>5.037018383278771</v>
      </c>
      <c r="D37" s="191"/>
      <c r="E37" s="197" t="s">
        <v>314</v>
      </c>
      <c r="F37" s="200" t="s">
        <v>314</v>
      </c>
      <c r="G37" s="194"/>
    </row>
  </sheetData>
  <printOptions gridLines="1"/>
  <pageMargins left="0.75" right="0.75" top="1" bottom="1" header="0.5" footer="0.5"/>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2"/>
  <dimension ref="A1:O87"/>
  <sheetViews>
    <sheetView workbookViewId="0" topLeftCell="A1">
      <selection activeCell="L76" sqref="L76"/>
    </sheetView>
  </sheetViews>
  <sheetFormatPr defaultColWidth="9.140625" defaultRowHeight="12.75"/>
  <cols>
    <col min="1" max="1" width="18.28125" style="120" customWidth="1"/>
    <col min="2" max="3" width="12.421875" style="120" customWidth="1"/>
    <col min="4" max="4" width="16.57421875" style="120" customWidth="1"/>
    <col min="5" max="5" width="19.00390625" style="120" customWidth="1"/>
    <col min="6" max="6" width="13.00390625" style="120" customWidth="1"/>
    <col min="7" max="7" width="11.421875" style="120" customWidth="1"/>
    <col min="8" max="8" width="12.421875" style="120" customWidth="1"/>
    <col min="9" max="9" width="11.421875" style="120" customWidth="1"/>
    <col min="10" max="10" width="15.57421875" style="120" customWidth="1"/>
    <col min="11" max="11" width="11.421875" style="120" customWidth="1"/>
    <col min="12" max="12" width="12.8515625" style="120" customWidth="1"/>
    <col min="13" max="16384" width="11.421875" style="120" customWidth="1"/>
  </cols>
  <sheetData>
    <row r="1" ht="15.75">
      <c r="A1" s="120" t="s">
        <v>334</v>
      </c>
    </row>
    <row r="3" spans="1:12" ht="15.75">
      <c r="A3" s="120" t="s">
        <v>254</v>
      </c>
      <c r="C3" s="120" t="s">
        <v>62</v>
      </c>
      <c r="D3" s="120" t="s">
        <v>62</v>
      </c>
      <c r="E3" s="120" t="s">
        <v>238</v>
      </c>
      <c r="L3" s="121" t="s">
        <v>335</v>
      </c>
    </row>
    <row r="4" spans="1:15" ht="15.75">
      <c r="A4" s="120" t="s">
        <v>336</v>
      </c>
      <c r="B4" s="120" t="s">
        <v>337</v>
      </c>
      <c r="C4" s="120" t="s">
        <v>338</v>
      </c>
      <c r="D4" s="120" t="s">
        <v>339</v>
      </c>
      <c r="E4" s="120" t="s">
        <v>338</v>
      </c>
      <c r="F4" s="120" t="s">
        <v>340</v>
      </c>
      <c r="G4" s="120" t="s">
        <v>341</v>
      </c>
      <c r="H4" s="120" t="s">
        <v>342</v>
      </c>
      <c r="I4" s="120" t="s">
        <v>341</v>
      </c>
      <c r="J4" s="120" t="s">
        <v>340</v>
      </c>
      <c r="K4" s="120" t="s">
        <v>341</v>
      </c>
      <c r="L4" s="120" t="s">
        <v>343</v>
      </c>
      <c r="M4" s="120" t="s">
        <v>62</v>
      </c>
      <c r="N4" s="120" t="s">
        <v>344</v>
      </c>
      <c r="O4" s="120" t="s">
        <v>345</v>
      </c>
    </row>
    <row r="5" spans="1:15" ht="15.75">
      <c r="A5" s="120" t="s">
        <v>346</v>
      </c>
      <c r="B5" s="120">
        <v>49</v>
      </c>
      <c r="C5" s="120">
        <v>33537</v>
      </c>
      <c r="D5" s="201">
        <v>32743</v>
      </c>
      <c r="E5" s="202">
        <f aca="true" t="shared" si="0" ref="E5:F11">C5/B5</f>
        <v>684.4285714285714</v>
      </c>
      <c r="F5" s="122">
        <f t="shared" si="0"/>
        <v>0.9763246563497033</v>
      </c>
      <c r="G5" s="120">
        <v>38</v>
      </c>
      <c r="H5" s="203">
        <f aca="true" t="shared" si="1" ref="H5:H11">F5/G5</f>
        <v>0.025692754114465876</v>
      </c>
      <c r="I5" s="120">
        <v>38</v>
      </c>
      <c r="J5" s="122">
        <v>0.9763246563497033</v>
      </c>
      <c r="K5" s="120">
        <v>38</v>
      </c>
      <c r="L5" s="122">
        <f aca="true" t="shared" si="2" ref="L5:L11">K5*$C$16</f>
        <v>0.7946081202726633</v>
      </c>
      <c r="M5" s="201">
        <f aca="true" t="shared" si="3" ref="M5:M11">E5*L5</f>
        <v>543.8525006037614</v>
      </c>
      <c r="N5" s="204">
        <f aca="true" t="shared" si="4" ref="N5:N11">D5/B5</f>
        <v>668.2244897959183</v>
      </c>
      <c r="O5" s="204">
        <f aca="true" t="shared" si="5" ref="O5:O11">N5-M5</f>
        <v>124.37198919215689</v>
      </c>
    </row>
    <row r="6" spans="1:15" ht="15.75">
      <c r="A6" s="120" t="s">
        <v>347</v>
      </c>
      <c r="B6" s="120">
        <v>25</v>
      </c>
      <c r="C6" s="120">
        <v>28395</v>
      </c>
      <c r="D6" s="201">
        <v>24466</v>
      </c>
      <c r="E6" s="202">
        <f t="shared" si="0"/>
        <v>1135.8</v>
      </c>
      <c r="F6" s="122">
        <f t="shared" si="0"/>
        <v>0.861630568762106</v>
      </c>
      <c r="G6" s="120">
        <v>32</v>
      </c>
      <c r="H6" s="203">
        <f t="shared" si="1"/>
        <v>0.02692595527381581</v>
      </c>
      <c r="I6" s="120">
        <v>32</v>
      </c>
      <c r="J6" s="122">
        <v>0.861630568762106</v>
      </c>
      <c r="K6" s="120">
        <v>32</v>
      </c>
      <c r="L6" s="122">
        <f t="shared" si="2"/>
        <v>0.6691436802296111</v>
      </c>
      <c r="M6" s="201">
        <f t="shared" si="3"/>
        <v>760.0133920047923</v>
      </c>
      <c r="N6" s="204">
        <f t="shared" si="4"/>
        <v>978.64</v>
      </c>
      <c r="O6" s="204">
        <f t="shared" si="5"/>
        <v>218.62660799520768</v>
      </c>
    </row>
    <row r="7" spans="1:15" ht="15.75">
      <c r="A7" s="120" t="s">
        <v>348</v>
      </c>
      <c r="B7" s="120">
        <v>38</v>
      </c>
      <c r="C7" s="120">
        <v>44805</v>
      </c>
      <c r="D7" s="201">
        <v>31681</v>
      </c>
      <c r="E7" s="202">
        <f t="shared" si="0"/>
        <v>1179.078947368421</v>
      </c>
      <c r="F7" s="122">
        <f t="shared" si="0"/>
        <v>0.7070862626938957</v>
      </c>
      <c r="G7" s="120">
        <v>31</v>
      </c>
      <c r="H7" s="203">
        <f t="shared" si="1"/>
        <v>0.02280923428044825</v>
      </c>
      <c r="I7" s="120">
        <v>31</v>
      </c>
      <c r="J7" s="122">
        <v>0.7070862626938957</v>
      </c>
      <c r="K7" s="120">
        <v>31</v>
      </c>
      <c r="L7" s="122">
        <f t="shared" si="2"/>
        <v>0.6482329402224358</v>
      </c>
      <c r="M7" s="201">
        <f t="shared" si="3"/>
        <v>764.3178128070062</v>
      </c>
      <c r="N7" s="204">
        <f t="shared" si="4"/>
        <v>833.7105263157895</v>
      </c>
      <c r="O7" s="204">
        <f t="shared" si="5"/>
        <v>69.39271350878323</v>
      </c>
    </row>
    <row r="8" spans="1:15" ht="15.75">
      <c r="A8" s="120" t="s">
        <v>349</v>
      </c>
      <c r="B8" s="120">
        <v>45</v>
      </c>
      <c r="C8" s="120">
        <v>45524</v>
      </c>
      <c r="D8" s="201">
        <v>28829</v>
      </c>
      <c r="E8" s="202">
        <f t="shared" si="0"/>
        <v>1011.6444444444444</v>
      </c>
      <c r="F8" s="122">
        <f t="shared" si="0"/>
        <v>0.633270362885511</v>
      </c>
      <c r="G8" s="120">
        <v>29</v>
      </c>
      <c r="H8" s="203">
        <f t="shared" si="1"/>
        <v>0.02183690906501762</v>
      </c>
      <c r="I8" s="120">
        <v>29</v>
      </c>
      <c r="J8" s="122">
        <v>0.6330245814036338</v>
      </c>
      <c r="K8" s="120">
        <v>29</v>
      </c>
      <c r="L8" s="122">
        <f t="shared" si="2"/>
        <v>0.6064114602080851</v>
      </c>
      <c r="M8" s="201">
        <f t="shared" si="3"/>
        <v>613.4727847669526</v>
      </c>
      <c r="N8" s="204">
        <f t="shared" si="4"/>
        <v>640.6444444444444</v>
      </c>
      <c r="O8" s="204">
        <f t="shared" si="5"/>
        <v>27.17165967749179</v>
      </c>
    </row>
    <row r="9" spans="1:15" ht="15.75">
      <c r="A9" s="120" t="s">
        <v>350</v>
      </c>
      <c r="B9" s="120">
        <v>141</v>
      </c>
      <c r="C9" s="120">
        <v>164142</v>
      </c>
      <c r="D9" s="201">
        <v>100038</v>
      </c>
      <c r="E9" s="202">
        <f t="shared" si="0"/>
        <v>1164.127659574468</v>
      </c>
      <c r="F9" s="122">
        <f t="shared" si="0"/>
        <v>0.6094601016193296</v>
      </c>
      <c r="G9" s="120">
        <v>27</v>
      </c>
      <c r="H9" s="203">
        <f t="shared" si="1"/>
        <v>0.022572596356271468</v>
      </c>
      <c r="I9" s="120">
        <v>27</v>
      </c>
      <c r="J9" s="122">
        <v>0.6091789315798637</v>
      </c>
      <c r="K9" s="120">
        <v>27</v>
      </c>
      <c r="L9" s="122">
        <f t="shared" si="2"/>
        <v>0.5645899801937344</v>
      </c>
      <c r="M9" s="201">
        <f t="shared" si="3"/>
        <v>657.2548122621273</v>
      </c>
      <c r="N9" s="204">
        <f t="shared" si="4"/>
        <v>709.4893617021277</v>
      </c>
      <c r="O9" s="204">
        <f t="shared" si="5"/>
        <v>52.234549440000364</v>
      </c>
    </row>
    <row r="10" spans="1:15" ht="15.75">
      <c r="A10" s="120" t="s">
        <v>351</v>
      </c>
      <c r="B10" s="120">
        <v>47</v>
      </c>
      <c r="C10" s="120">
        <v>59788</v>
      </c>
      <c r="D10" s="201">
        <v>34027</v>
      </c>
      <c r="E10" s="202">
        <f t="shared" si="0"/>
        <v>1272.0851063829787</v>
      </c>
      <c r="F10" s="122">
        <f t="shared" si="0"/>
        <v>0.5691275841305947</v>
      </c>
      <c r="G10" s="120">
        <v>25</v>
      </c>
      <c r="H10" s="203">
        <f t="shared" si="1"/>
        <v>0.02276510336522379</v>
      </c>
      <c r="I10" s="120">
        <v>25</v>
      </c>
      <c r="J10" s="122">
        <v>0.5691275841305947</v>
      </c>
      <c r="K10" s="120">
        <v>25</v>
      </c>
      <c r="L10" s="122">
        <f t="shared" si="2"/>
        <v>0.5227685001793837</v>
      </c>
      <c r="M10" s="201">
        <f t="shared" si="3"/>
        <v>665.0060231643615</v>
      </c>
      <c r="N10" s="204">
        <f t="shared" si="4"/>
        <v>723.9787234042553</v>
      </c>
      <c r="O10" s="204">
        <f t="shared" si="5"/>
        <v>58.97270023989381</v>
      </c>
    </row>
    <row r="11" spans="1:15" ht="15.75">
      <c r="A11" s="120" t="s">
        <v>352</v>
      </c>
      <c r="B11" s="120">
        <v>17</v>
      </c>
      <c r="C11" s="120">
        <v>19935</v>
      </c>
      <c r="D11" s="201">
        <v>8856</v>
      </c>
      <c r="E11" s="202">
        <f t="shared" si="0"/>
        <v>1172.6470588235295</v>
      </c>
      <c r="F11" s="122">
        <f t="shared" si="0"/>
        <v>0.44424379232505645</v>
      </c>
      <c r="G11" s="120">
        <v>19</v>
      </c>
      <c r="H11" s="203">
        <f t="shared" si="1"/>
        <v>0.023381252227634552</v>
      </c>
      <c r="I11" s="120">
        <v>19</v>
      </c>
      <c r="J11" s="122">
        <v>0.44424379232505645</v>
      </c>
      <c r="K11" s="120">
        <v>19</v>
      </c>
      <c r="L11" s="122">
        <f t="shared" si="2"/>
        <v>0.3973040601363316</v>
      </c>
      <c r="M11" s="201">
        <f t="shared" si="3"/>
        <v>465.897437577516</v>
      </c>
      <c r="N11" s="204">
        <f t="shared" si="4"/>
        <v>520.9411764705883</v>
      </c>
      <c r="O11" s="204">
        <f t="shared" si="5"/>
        <v>55.043738893072316</v>
      </c>
    </row>
    <row r="12" spans="1:10" ht="15.75">
      <c r="A12" s="120" t="s">
        <v>62</v>
      </c>
      <c r="B12" s="120">
        <f>SUM(B5:B11)</f>
        <v>362</v>
      </c>
      <c r="C12" s="120">
        <f>SUM(C5:C11)</f>
        <v>396126</v>
      </c>
      <c r="D12" s="201">
        <f>SUM(D5:D11)</f>
        <v>260640</v>
      </c>
      <c r="E12" s="202">
        <f>C12/B12</f>
        <v>1094.2707182320441</v>
      </c>
      <c r="G12" s="203"/>
      <c r="H12" s="203"/>
      <c r="I12" s="122"/>
      <c r="J12" s="125"/>
    </row>
    <row r="13" spans="5:10" ht="15.75">
      <c r="E13" s="205"/>
      <c r="G13" s="203"/>
      <c r="I13" s="122"/>
      <c r="J13" s="125"/>
    </row>
    <row r="14" spans="1:7" ht="15.75">
      <c r="A14" s="121" t="s">
        <v>353</v>
      </c>
      <c r="B14" s="201"/>
      <c r="C14" s="205"/>
      <c r="E14" s="203" t="s">
        <v>354</v>
      </c>
      <c r="G14" s="122"/>
    </row>
    <row r="15" spans="1:7" ht="15.75">
      <c r="A15" s="120" t="s">
        <v>355</v>
      </c>
      <c r="B15" s="201"/>
      <c r="C15" s="205"/>
      <c r="E15" s="120" t="s">
        <v>355</v>
      </c>
      <c r="G15" s="122"/>
    </row>
    <row r="16" spans="2:6" ht="31.5">
      <c r="B16" s="206" t="s">
        <v>356</v>
      </c>
      <c r="C16" s="207">
        <f>SLOPE(F7:F11,G7:G11)</f>
        <v>0.020910740007175348</v>
      </c>
      <c r="F16" s="208">
        <f>AVERAGE(H7:H11)</f>
        <v>0.022673019058919136</v>
      </c>
    </row>
    <row r="17" spans="2:3" ht="15.75">
      <c r="B17" s="120" t="s">
        <v>357</v>
      </c>
      <c r="C17" s="209">
        <f>RSQ(F7:F11,G7:G11)</f>
        <v>0.9860024801514309</v>
      </c>
    </row>
    <row r="18" ht="15.75">
      <c r="E18" s="204"/>
    </row>
    <row r="20" spans="1:2" ht="15.75">
      <c r="A20" s="125"/>
      <c r="B20" s="120" t="s">
        <v>358</v>
      </c>
    </row>
    <row r="21" spans="1:4" ht="15.75">
      <c r="A21" s="120" t="s">
        <v>57</v>
      </c>
      <c r="B21" s="120" t="s">
        <v>359</v>
      </c>
      <c r="C21" s="120" t="s">
        <v>360</v>
      </c>
      <c r="D21" s="120" t="s">
        <v>361</v>
      </c>
    </row>
    <row r="22" spans="1:4" ht="15.75">
      <c r="A22" s="120" t="s">
        <v>362</v>
      </c>
      <c r="B22" s="120">
        <v>19</v>
      </c>
      <c r="C22" s="122">
        <f>B22*$C$16</f>
        <v>0.3973040601363316</v>
      </c>
      <c r="D22" s="122">
        <f>B22*$F$16</f>
        <v>0.43078736211946356</v>
      </c>
    </row>
    <row r="23" spans="1:4" ht="15.75">
      <c r="A23" s="120" t="s">
        <v>363</v>
      </c>
      <c r="B23" s="120">
        <v>11</v>
      </c>
      <c r="C23" s="122">
        <f>B23*$C$16</f>
        <v>0.23001814007892882</v>
      </c>
      <c r="D23" s="122">
        <f>B23*$F$16</f>
        <v>0.2494032096481105</v>
      </c>
    </row>
    <row r="24" spans="1:4" ht="15.75">
      <c r="A24" s="120" t="s">
        <v>364</v>
      </c>
      <c r="B24" s="120">
        <v>8</v>
      </c>
      <c r="C24" s="122">
        <f>B24*$C$16</f>
        <v>0.16728592005740278</v>
      </c>
      <c r="D24" s="122">
        <f>B24*$F$16</f>
        <v>0.1813841524713531</v>
      </c>
    </row>
    <row r="25" spans="1:4" ht="15.75">
      <c r="A25" s="120" t="s">
        <v>365</v>
      </c>
      <c r="B25" s="120">
        <v>38</v>
      </c>
      <c r="C25" s="122">
        <f>B25*$C$16</f>
        <v>0.7946081202726633</v>
      </c>
      <c r="D25" s="122">
        <f>B25*$F$16</f>
        <v>0.8615747242389271</v>
      </c>
    </row>
    <row r="37" spans="1:9" ht="15.75">
      <c r="A37" s="120" t="s">
        <v>366</v>
      </c>
      <c r="C37" s="120" t="s">
        <v>62</v>
      </c>
      <c r="D37" s="120" t="s">
        <v>62</v>
      </c>
      <c r="E37" s="120" t="s">
        <v>238</v>
      </c>
      <c r="G37" s="120" t="s">
        <v>62</v>
      </c>
      <c r="I37" s="120" t="s">
        <v>367</v>
      </c>
    </row>
    <row r="38" spans="1:10" ht="15.75">
      <c r="A38" s="120" t="s">
        <v>336</v>
      </c>
      <c r="B38" s="120" t="s">
        <v>337</v>
      </c>
      <c r="C38" s="120" t="s">
        <v>338</v>
      </c>
      <c r="D38" s="120" t="s">
        <v>339</v>
      </c>
      <c r="E38" s="120" t="s">
        <v>338</v>
      </c>
      <c r="F38" s="120" t="s">
        <v>340</v>
      </c>
      <c r="G38" s="120" t="s">
        <v>341</v>
      </c>
      <c r="H38" s="120" t="s">
        <v>342</v>
      </c>
      <c r="I38" s="120" t="s">
        <v>341</v>
      </c>
      <c r="J38" s="121" t="s">
        <v>368</v>
      </c>
    </row>
    <row r="39" spans="1:10" ht="15.75">
      <c r="A39" s="120" t="s">
        <v>362</v>
      </c>
      <c r="B39" s="120">
        <v>201</v>
      </c>
      <c r="C39" s="120">
        <v>206196</v>
      </c>
      <c r="D39" s="204">
        <v>189968</v>
      </c>
      <c r="E39" s="210">
        <f aca="true" t="shared" si="6" ref="E39:F41">C39/B39</f>
        <v>1025.8507462686566</v>
      </c>
      <c r="F39" s="122">
        <f t="shared" si="6"/>
        <v>0.921298182311975</v>
      </c>
      <c r="G39" s="120">
        <v>19</v>
      </c>
      <c r="H39" s="211">
        <f>F39/G39</f>
        <v>0.04848937801641974</v>
      </c>
      <c r="I39" s="120">
        <v>19</v>
      </c>
      <c r="J39" s="212">
        <f>F39/I39</f>
        <v>0.04848937801641974</v>
      </c>
    </row>
    <row r="40" spans="1:10" ht="15.75">
      <c r="A40" s="120" t="s">
        <v>369</v>
      </c>
      <c r="B40" s="120">
        <v>197</v>
      </c>
      <c r="C40" s="120">
        <v>217977</v>
      </c>
      <c r="D40" s="204">
        <v>212070</v>
      </c>
      <c r="E40" s="210">
        <f t="shared" si="6"/>
        <v>1106.482233502538</v>
      </c>
      <c r="F40" s="122">
        <f t="shared" si="6"/>
        <v>0.9729008106359845</v>
      </c>
      <c r="G40" s="120">
        <v>25</v>
      </c>
      <c r="H40" s="211">
        <f>F40/G40</f>
        <v>0.03891603242543938</v>
      </c>
      <c r="I40" s="120">
        <v>6</v>
      </c>
      <c r="J40" s="212">
        <f>(F40-F39)/I40</f>
        <v>0.008600438054001588</v>
      </c>
    </row>
    <row r="41" spans="1:10" ht="15.75">
      <c r="A41" s="120" t="s">
        <v>370</v>
      </c>
      <c r="B41" s="120">
        <v>131</v>
      </c>
      <c r="C41" s="120">
        <v>144649</v>
      </c>
      <c r="D41" s="204">
        <v>149856</v>
      </c>
      <c r="E41" s="210">
        <f t="shared" si="6"/>
        <v>1104.1908396946565</v>
      </c>
      <c r="F41" s="122">
        <f t="shared" si="6"/>
        <v>1.035997483563661</v>
      </c>
      <c r="G41" s="120">
        <v>30</v>
      </c>
      <c r="H41" s="211">
        <f>F41/G41</f>
        <v>0.03453324945212203</v>
      </c>
      <c r="I41" s="120">
        <v>5</v>
      </c>
      <c r="J41" s="212">
        <f>(F41-F40)/I41</f>
        <v>0.01261933458553528</v>
      </c>
    </row>
    <row r="44" spans="6:10" ht="15.75">
      <c r="F44" s="120" t="s">
        <v>371</v>
      </c>
      <c r="J44" s="213">
        <f>AVERAGE(J40:J41)</f>
        <v>0.010609886319768433</v>
      </c>
    </row>
    <row r="45" ht="15.75">
      <c r="F45" s="120" t="s">
        <v>372</v>
      </c>
    </row>
    <row r="47" spans="6:7" ht="15.75">
      <c r="F47" s="125"/>
      <c r="G47" s="120" t="s">
        <v>358</v>
      </c>
    </row>
    <row r="48" spans="6:10" ht="15.75">
      <c r="F48" s="120" t="s">
        <v>57</v>
      </c>
      <c r="G48" s="120" t="s">
        <v>359</v>
      </c>
      <c r="H48" s="120" t="s">
        <v>361</v>
      </c>
      <c r="I48" s="120" t="s">
        <v>373</v>
      </c>
      <c r="J48" s="120" t="s">
        <v>62</v>
      </c>
    </row>
    <row r="49" spans="6:10" ht="15.75">
      <c r="F49" s="120" t="s">
        <v>374</v>
      </c>
      <c r="G49" s="120">
        <v>11</v>
      </c>
      <c r="H49" s="122">
        <f>G49*$J$44</f>
        <v>0.11670874951745276</v>
      </c>
      <c r="I49" s="120">
        <v>0.5</v>
      </c>
      <c r="J49" s="125">
        <f>H49+I49</f>
        <v>0.6167087495174528</v>
      </c>
    </row>
    <row r="50" spans="6:10" ht="15.75">
      <c r="F50" s="121" t="s">
        <v>375</v>
      </c>
      <c r="G50" s="120">
        <v>8</v>
      </c>
      <c r="H50" s="122">
        <f>G50*$J$44</f>
        <v>0.08487909055814746</v>
      </c>
      <c r="I50" s="120">
        <v>0.5</v>
      </c>
      <c r="J50" s="125">
        <f>$J49+H50</f>
        <v>0.7015878400756003</v>
      </c>
    </row>
    <row r="51" spans="6:10" ht="15.75">
      <c r="F51" s="121" t="s">
        <v>363</v>
      </c>
      <c r="G51" s="120">
        <v>11</v>
      </c>
      <c r="H51" s="122">
        <f>G51*$J$44</f>
        <v>0.11670874951745276</v>
      </c>
      <c r="I51" s="120">
        <v>0.5</v>
      </c>
      <c r="J51" s="125">
        <f>$J50+H51</f>
        <v>0.8182965895930531</v>
      </c>
    </row>
    <row r="52" spans="6:10" ht="15.75">
      <c r="F52" s="121" t="s">
        <v>370</v>
      </c>
      <c r="G52" s="120">
        <v>38</v>
      </c>
      <c r="H52" s="122">
        <f>G52*$J$44</f>
        <v>0.4031756801512004</v>
      </c>
      <c r="I52" s="120">
        <v>0.5</v>
      </c>
      <c r="J52" s="125">
        <f>H52+I52</f>
        <v>0.9031756801512004</v>
      </c>
    </row>
    <row r="55" ht="15.75">
      <c r="A55" s="120" t="s">
        <v>270</v>
      </c>
    </row>
    <row r="56" ht="15.75">
      <c r="A56" s="120" t="s">
        <v>376</v>
      </c>
    </row>
    <row r="57" spans="1:9" ht="25.5">
      <c r="A57" s="214" t="s">
        <v>57</v>
      </c>
      <c r="B57" s="215" t="s">
        <v>377</v>
      </c>
      <c r="C57" s="215" t="s">
        <v>378</v>
      </c>
      <c r="D57" s="216" t="s">
        <v>379</v>
      </c>
      <c r="E57" s="215" t="s">
        <v>380</v>
      </c>
      <c r="F57" s="215" t="s">
        <v>237</v>
      </c>
      <c r="G57" s="215" t="s">
        <v>381</v>
      </c>
      <c r="H57" s="215" t="s">
        <v>382</v>
      </c>
      <c r="I57" s="215" t="s">
        <v>202</v>
      </c>
    </row>
    <row r="58" spans="1:9" ht="15.75">
      <c r="A58" s="217" t="s">
        <v>383</v>
      </c>
      <c r="B58" s="218">
        <v>6.49</v>
      </c>
      <c r="C58" s="219">
        <v>0.65</v>
      </c>
      <c r="D58" s="220">
        <f aca="true" t="shared" si="7" ref="D58:D63">1/((1/C58)+0.08)</f>
        <v>0.6178707224334601</v>
      </c>
      <c r="E58" s="221">
        <f aca="true" t="shared" si="8" ref="E58:E63">1/D58</f>
        <v>1.6184615384615384</v>
      </c>
      <c r="F58" s="222">
        <v>0</v>
      </c>
      <c r="G58" s="223">
        <f>SUM($F$58:F58)</f>
        <v>0</v>
      </c>
      <c r="H58" s="222">
        <v>0</v>
      </c>
      <c r="I58" s="222">
        <v>0</v>
      </c>
    </row>
    <row r="59" spans="1:9" ht="15.75">
      <c r="A59" s="217" t="s">
        <v>384</v>
      </c>
      <c r="B59" s="218">
        <v>6.63</v>
      </c>
      <c r="C59" s="219">
        <v>0.5</v>
      </c>
      <c r="D59" s="220">
        <f t="shared" si="7"/>
        <v>0.4807692307692307</v>
      </c>
      <c r="E59" s="221">
        <f t="shared" si="8"/>
        <v>2.08</v>
      </c>
      <c r="F59" s="224">
        <f>B59-B58</f>
        <v>0.13999999999999968</v>
      </c>
      <c r="G59" s="223">
        <f>SUM($F$58:F59)</f>
        <v>0.13999999999999968</v>
      </c>
      <c r="H59" s="220">
        <f>D58-D59</f>
        <v>0.13710149166422936</v>
      </c>
      <c r="I59" s="223">
        <f>F59/H59</f>
        <v>1.0211413333333306</v>
      </c>
    </row>
    <row r="60" spans="1:9" ht="15.75">
      <c r="A60" s="225" t="s">
        <v>385</v>
      </c>
      <c r="B60" s="218">
        <v>8.21</v>
      </c>
      <c r="C60" s="219">
        <v>0.4</v>
      </c>
      <c r="D60" s="220">
        <f t="shared" si="7"/>
        <v>0.38759689922480617</v>
      </c>
      <c r="E60" s="221">
        <f t="shared" si="8"/>
        <v>2.58</v>
      </c>
      <c r="F60" s="224">
        <f>B60-B59</f>
        <v>1.580000000000001</v>
      </c>
      <c r="G60" s="223">
        <f>SUM($F$58:F60)</f>
        <v>1.7200000000000006</v>
      </c>
      <c r="H60" s="220">
        <f>D59-D60</f>
        <v>0.09317233154442456</v>
      </c>
      <c r="I60" s="223">
        <f>F60/H60</f>
        <v>16.957824000000013</v>
      </c>
    </row>
    <row r="61" spans="1:9" ht="15.75">
      <c r="A61" s="222" t="s">
        <v>386</v>
      </c>
      <c r="B61" s="218">
        <v>8.66</v>
      </c>
      <c r="C61" s="219">
        <v>0.35</v>
      </c>
      <c r="D61" s="220">
        <f t="shared" si="7"/>
        <v>0.3404669260700389</v>
      </c>
      <c r="E61" s="221">
        <f t="shared" si="8"/>
        <v>2.937142857142857</v>
      </c>
      <c r="F61" s="224">
        <f>B61-B60</f>
        <v>0.4499999999999993</v>
      </c>
      <c r="G61" s="223">
        <f>SUM($F$58:F61)</f>
        <v>2.17</v>
      </c>
      <c r="H61" s="220">
        <f>D60-D61</f>
        <v>0.047129973154767246</v>
      </c>
      <c r="I61" s="223">
        <f>F61/H61</f>
        <v>9.548063999999995</v>
      </c>
    </row>
    <row r="62" spans="1:9" ht="15.75">
      <c r="A62" s="217" t="s">
        <v>387</v>
      </c>
      <c r="B62" s="218">
        <v>10.1</v>
      </c>
      <c r="C62" s="219">
        <v>0.25</v>
      </c>
      <c r="D62" s="220">
        <f t="shared" si="7"/>
        <v>0.24509803921568626</v>
      </c>
      <c r="E62" s="221">
        <f t="shared" si="8"/>
        <v>4.08</v>
      </c>
      <c r="F62" s="224">
        <f>B62-B61</f>
        <v>1.4399999999999995</v>
      </c>
      <c r="G62" s="223">
        <f>SUM($F$58:F62)</f>
        <v>3.6099999999999994</v>
      </c>
      <c r="H62" s="220">
        <f>D61-D62</f>
        <v>0.09536888685435266</v>
      </c>
      <c r="I62" s="223">
        <f>F62/H62</f>
        <v>15.099263999999991</v>
      </c>
    </row>
    <row r="63" spans="1:9" ht="15.75">
      <c r="A63" s="222" t="s">
        <v>388</v>
      </c>
      <c r="B63" s="223">
        <v>14.73</v>
      </c>
      <c r="C63" s="226">
        <v>0.2</v>
      </c>
      <c r="D63" s="220">
        <f t="shared" si="7"/>
        <v>0.19685039370078738</v>
      </c>
      <c r="E63" s="221">
        <f t="shared" si="8"/>
        <v>5.08</v>
      </c>
      <c r="F63" s="224">
        <f>B63-B62</f>
        <v>4.630000000000001</v>
      </c>
      <c r="G63" s="223">
        <f>SUM($F$58:F63)</f>
        <v>8.24</v>
      </c>
      <c r="H63" s="220">
        <f>D62-D63</f>
        <v>0.04824764551489888</v>
      </c>
      <c r="I63" s="223">
        <f>F63/H63</f>
        <v>95.963232</v>
      </c>
    </row>
    <row r="64" spans="1:9" ht="15.75">
      <c r="A64" s="194"/>
      <c r="B64" s="223"/>
      <c r="C64" s="223"/>
      <c r="D64" s="220"/>
      <c r="E64" s="227" t="s">
        <v>389</v>
      </c>
      <c r="F64" s="228"/>
      <c r="G64" s="228">
        <f>G63</f>
        <v>8.24</v>
      </c>
      <c r="H64" s="229">
        <f>SUM(H58:H63)</f>
        <v>0.4210203287326727</v>
      </c>
      <c r="I64" s="222"/>
    </row>
    <row r="65" spans="1:9" ht="15.75">
      <c r="A65" s="194"/>
      <c r="B65" s="230" t="s">
        <v>310</v>
      </c>
      <c r="C65" s="230"/>
      <c r="D65" s="230"/>
      <c r="E65" s="230" t="s">
        <v>311</v>
      </c>
      <c r="F65" s="230"/>
      <c r="G65" s="228"/>
      <c r="H65" s="229"/>
      <c r="I65" s="222"/>
    </row>
    <row r="66" spans="1:8" ht="15.75">
      <c r="A66" s="230" t="s">
        <v>390</v>
      </c>
      <c r="B66" s="230" t="s">
        <v>391</v>
      </c>
      <c r="C66" s="230" t="s">
        <v>392</v>
      </c>
      <c r="D66" s="230" t="s">
        <v>238</v>
      </c>
      <c r="E66" s="230" t="s">
        <v>390</v>
      </c>
      <c r="F66" s="230" t="s">
        <v>391</v>
      </c>
      <c r="G66" s="230" t="s">
        <v>392</v>
      </c>
      <c r="H66" s="230" t="s">
        <v>238</v>
      </c>
    </row>
    <row r="67" spans="1:8" ht="47.25">
      <c r="A67" s="231" t="s">
        <v>322</v>
      </c>
      <c r="B67" s="232">
        <v>15.02</v>
      </c>
      <c r="C67" s="232">
        <v>14.89</v>
      </c>
      <c r="D67" s="122">
        <f>(B67+C67)/2</f>
        <v>14.955</v>
      </c>
      <c r="E67" s="231" t="s">
        <v>322</v>
      </c>
      <c r="F67" s="232">
        <f>'Retrofit Cost Data'!E33</f>
        <v>10.94</v>
      </c>
      <c r="G67" s="232">
        <f>'Retrofit Cost Data'!E15</f>
        <v>11.77</v>
      </c>
      <c r="H67" s="122">
        <f>(F67+G67)/2</f>
        <v>11.355</v>
      </c>
    </row>
    <row r="68" spans="2:10" ht="15.75">
      <c r="B68" s="120" t="s">
        <v>393</v>
      </c>
      <c r="D68" s="125">
        <f>B60</f>
        <v>8.21</v>
      </c>
      <c r="F68" s="120" t="s">
        <v>393</v>
      </c>
      <c r="H68" s="125">
        <f>D68*I68</f>
        <v>6.2336710130391175</v>
      </c>
      <c r="I68" s="233">
        <f>H67/D67</f>
        <v>0.7592778335005015</v>
      </c>
      <c r="J68" s="121" t="s">
        <v>394</v>
      </c>
    </row>
    <row r="69" spans="2:8" ht="16.5" thickBot="1">
      <c r="B69" s="120" t="s">
        <v>395</v>
      </c>
      <c r="D69" s="125">
        <v>6.75</v>
      </c>
      <c r="F69" s="120" t="s">
        <v>395</v>
      </c>
      <c r="H69" s="125">
        <f>H67-H68</f>
        <v>5.121328986960883</v>
      </c>
    </row>
    <row r="70" spans="1:11" ht="26.25" thickBot="1">
      <c r="A70" s="234" t="s">
        <v>57</v>
      </c>
      <c r="B70" s="235" t="s">
        <v>377</v>
      </c>
      <c r="C70" s="235" t="s">
        <v>396</v>
      </c>
      <c r="D70" s="235" t="s">
        <v>397</v>
      </c>
      <c r="E70" s="235" t="s">
        <v>380</v>
      </c>
      <c r="F70" s="235" t="s">
        <v>237</v>
      </c>
      <c r="G70" s="235" t="s">
        <v>381</v>
      </c>
      <c r="H70" s="235" t="s">
        <v>382</v>
      </c>
      <c r="I70" s="235" t="s">
        <v>202</v>
      </c>
      <c r="J70" s="236" t="s">
        <v>398</v>
      </c>
      <c r="K70" s="237"/>
    </row>
    <row r="71" spans="1:10" ht="15.75">
      <c r="A71" s="238" t="s">
        <v>399</v>
      </c>
      <c r="B71" s="238">
        <v>0</v>
      </c>
      <c r="C71" s="238">
        <v>0</v>
      </c>
      <c r="D71" s="238">
        <v>0</v>
      </c>
      <c r="E71" s="238">
        <v>1.03</v>
      </c>
      <c r="F71" s="238">
        <v>0</v>
      </c>
      <c r="G71" s="238">
        <v>0</v>
      </c>
      <c r="H71" s="239">
        <v>0</v>
      </c>
      <c r="I71" s="240">
        <v>0</v>
      </c>
      <c r="J71" s="241"/>
    </row>
    <row r="72" spans="1:10" ht="15.75">
      <c r="A72" s="238" t="s">
        <v>383</v>
      </c>
      <c r="B72" s="238">
        <v>6.49</v>
      </c>
      <c r="C72" s="238">
        <f aca="true" t="shared" si="9" ref="C72:C77">$D$69</f>
        <v>6.75</v>
      </c>
      <c r="D72" s="238">
        <f aca="true" t="shared" si="10" ref="D72:D77">B72+C72</f>
        <v>13.24</v>
      </c>
      <c r="E72" s="238">
        <v>1.6184615384615384</v>
      </c>
      <c r="F72" s="238">
        <f>D72</f>
        <v>13.24</v>
      </c>
      <c r="G72" s="238">
        <f>SUM($F72:F$72)</f>
        <v>13.24</v>
      </c>
      <c r="H72" s="239">
        <f aca="true" t="shared" si="11" ref="H72:H77">(1/E71)-(1/E72)</f>
        <v>0.3530030639743069</v>
      </c>
      <c r="I72" s="240">
        <f aca="true" t="shared" si="12" ref="I72:I77">F72/H72</f>
        <v>37.50675660130719</v>
      </c>
      <c r="J72" s="241">
        <f>G72/(SUM($H$72:H72))</f>
        <v>37.50675660130719</v>
      </c>
    </row>
    <row r="73" spans="1:10" ht="15.75">
      <c r="A73" s="238" t="s">
        <v>384</v>
      </c>
      <c r="B73" s="238">
        <v>6.63</v>
      </c>
      <c r="C73" s="238">
        <f t="shared" si="9"/>
        <v>6.75</v>
      </c>
      <c r="D73" s="238">
        <f t="shared" si="10"/>
        <v>13.379999999999999</v>
      </c>
      <c r="E73" s="238">
        <v>2.08</v>
      </c>
      <c r="F73" s="238">
        <f>B73-B72</f>
        <v>0.13999999999999968</v>
      </c>
      <c r="G73" s="238">
        <f>SUM($F$72:F73)</f>
        <v>13.379999999999999</v>
      </c>
      <c r="H73" s="239">
        <f t="shared" si="11"/>
        <v>0.13710149166422936</v>
      </c>
      <c r="I73" s="240">
        <f t="shared" si="12"/>
        <v>1.0211413333333306</v>
      </c>
      <c r="J73" s="241">
        <f>G73/(SUM($H$72:H73))</f>
        <v>27.300297142857136</v>
      </c>
    </row>
    <row r="74" spans="1:10" ht="15.75">
      <c r="A74" s="238" t="s">
        <v>385</v>
      </c>
      <c r="B74" s="238">
        <v>8.21</v>
      </c>
      <c r="C74" s="238">
        <f t="shared" si="9"/>
        <v>6.75</v>
      </c>
      <c r="D74" s="238">
        <f t="shared" si="10"/>
        <v>14.96</v>
      </c>
      <c r="E74" s="238">
        <v>2.58</v>
      </c>
      <c r="F74" s="238">
        <f>B74-B73</f>
        <v>1.580000000000001</v>
      </c>
      <c r="G74" s="238">
        <f>SUM($F$72:F74)</f>
        <v>14.96</v>
      </c>
      <c r="H74" s="239">
        <f t="shared" si="11"/>
        <v>0.09317233154442456</v>
      </c>
      <c r="I74" s="240">
        <f t="shared" si="12"/>
        <v>16.957824000000013</v>
      </c>
      <c r="J74" s="241">
        <f>G74/(SUM($H$72:H74))</f>
        <v>25.64819612903226</v>
      </c>
    </row>
    <row r="75" spans="1:10" ht="15.75">
      <c r="A75" s="238" t="s">
        <v>386</v>
      </c>
      <c r="B75" s="238">
        <v>8.66</v>
      </c>
      <c r="C75" s="238">
        <f t="shared" si="9"/>
        <v>6.75</v>
      </c>
      <c r="D75" s="238">
        <f t="shared" si="10"/>
        <v>15.41</v>
      </c>
      <c r="E75" s="238">
        <v>2.937142857142857</v>
      </c>
      <c r="F75" s="238">
        <f>B75-B74</f>
        <v>0.4499999999999993</v>
      </c>
      <c r="G75" s="238">
        <f>SUM($F$72:F75)</f>
        <v>15.41</v>
      </c>
      <c r="H75" s="239">
        <f t="shared" si="11"/>
        <v>0.047129973154767246</v>
      </c>
      <c r="I75" s="240">
        <f t="shared" si="12"/>
        <v>9.548063999999995</v>
      </c>
      <c r="J75" s="241">
        <f>G75/(SUM($H$72:H75))</f>
        <v>24.444530936329592</v>
      </c>
    </row>
    <row r="76" spans="1:10" ht="15.75">
      <c r="A76" s="238" t="s">
        <v>387</v>
      </c>
      <c r="B76" s="238">
        <v>10.1</v>
      </c>
      <c r="C76" s="238">
        <f t="shared" si="9"/>
        <v>6.75</v>
      </c>
      <c r="D76" s="238">
        <f t="shared" si="10"/>
        <v>16.85</v>
      </c>
      <c r="E76" s="238">
        <v>4.08</v>
      </c>
      <c r="F76" s="238">
        <f>B76-B75</f>
        <v>1.4399999999999995</v>
      </c>
      <c r="G76" s="238">
        <f>SUM($F$72:F76)</f>
        <v>16.85</v>
      </c>
      <c r="H76" s="239">
        <f t="shared" si="11"/>
        <v>0.09536888685435266</v>
      </c>
      <c r="I76" s="240">
        <f t="shared" si="12"/>
        <v>15.099263999999991</v>
      </c>
      <c r="J76" s="241">
        <f>G76/(SUM($H$72:H76))</f>
        <v>23.21653770491804</v>
      </c>
    </row>
    <row r="77" spans="1:10" ht="15.75">
      <c r="A77" s="238" t="s">
        <v>388</v>
      </c>
      <c r="B77" s="238">
        <v>14.73</v>
      </c>
      <c r="C77" s="238">
        <f t="shared" si="9"/>
        <v>6.75</v>
      </c>
      <c r="D77" s="238">
        <f t="shared" si="10"/>
        <v>21.48</v>
      </c>
      <c r="E77" s="238">
        <v>5.08</v>
      </c>
      <c r="F77" s="238">
        <f>B77-B76</f>
        <v>4.630000000000001</v>
      </c>
      <c r="G77" s="238">
        <f>SUM($F$72:F77)</f>
        <v>21.480000000000004</v>
      </c>
      <c r="H77" s="239">
        <f t="shared" si="11"/>
        <v>0.04824764551489888</v>
      </c>
      <c r="I77" s="240">
        <f t="shared" si="12"/>
        <v>95.963232</v>
      </c>
      <c r="J77" s="241">
        <f>G77/(SUM($H$72:H77))</f>
        <v>27.751099259259266</v>
      </c>
    </row>
    <row r="78" spans="5:9" ht="15.75">
      <c r="E78" s="227" t="s">
        <v>389</v>
      </c>
      <c r="F78" s="228"/>
      <c r="G78" s="228">
        <f>G77</f>
        <v>21.480000000000004</v>
      </c>
      <c r="H78" s="229">
        <f>SUM(H72:H77)</f>
        <v>0.7740233927069795</v>
      </c>
      <c r="I78" s="222"/>
    </row>
    <row r="79" spans="4:5" ht="15.75">
      <c r="D79" s="230" t="s">
        <v>310</v>
      </c>
      <c r="E79" s="230" t="s">
        <v>311</v>
      </c>
    </row>
    <row r="80" spans="2:6" ht="15.75">
      <c r="B80" s="120" t="s">
        <v>400</v>
      </c>
      <c r="D80" s="125">
        <f>'RESWX ECM Inflation DGP'!G19</f>
        <v>10.293369467028004</v>
      </c>
      <c r="E80" s="122">
        <f>D80*I68</f>
        <v>7.815527268345234</v>
      </c>
      <c r="F80" s="121" t="s">
        <v>394</v>
      </c>
    </row>
    <row r="81" spans="2:7" ht="15.75">
      <c r="B81" s="121" t="s">
        <v>401</v>
      </c>
      <c r="D81" s="125"/>
      <c r="F81" s="120" t="s">
        <v>402</v>
      </c>
      <c r="G81" s="120" t="s">
        <v>403</v>
      </c>
    </row>
    <row r="82" spans="2:5" ht="15.75">
      <c r="B82" s="125" t="s">
        <v>383</v>
      </c>
      <c r="D82" s="125">
        <f>F72-$D$80</f>
        <v>2.946630532971996</v>
      </c>
      <c r="E82" s="125">
        <f aca="true" t="shared" si="13" ref="E82:E87">((B72*$I$68)+$H$69)-$E$80</f>
        <v>2.233514858033904</v>
      </c>
    </row>
    <row r="83" spans="2:5" ht="15.75">
      <c r="B83" s="125" t="s">
        <v>384</v>
      </c>
      <c r="D83" s="125">
        <f>D73-$D$80</f>
        <v>3.086630532971995</v>
      </c>
      <c r="E83" s="125">
        <f t="shared" si="13"/>
        <v>2.3398137547239743</v>
      </c>
    </row>
    <row r="84" spans="2:8" ht="15.75">
      <c r="B84" s="125" t="s">
        <v>385</v>
      </c>
      <c r="D84" s="125">
        <f>D74-$D$80</f>
        <v>4.666630532971997</v>
      </c>
      <c r="E84" s="125">
        <f t="shared" si="13"/>
        <v>3.539472731654766</v>
      </c>
      <c r="H84" s="125">
        <f>E84+E80</f>
        <v>11.355</v>
      </c>
    </row>
    <row r="85" spans="2:5" ht="15.75">
      <c r="B85" s="125" t="s">
        <v>386</v>
      </c>
      <c r="D85" s="125">
        <f>D75-$D$80</f>
        <v>5.116630532971996</v>
      </c>
      <c r="E85" s="125">
        <f t="shared" si="13"/>
        <v>3.881147756729992</v>
      </c>
    </row>
    <row r="86" spans="2:5" ht="15.75">
      <c r="B86" s="125" t="s">
        <v>387</v>
      </c>
      <c r="D86" s="125">
        <f>D76-$D$80</f>
        <v>6.556630532971997</v>
      </c>
      <c r="E86" s="125">
        <f t="shared" si="13"/>
        <v>4.974507836970713</v>
      </c>
    </row>
    <row r="87" spans="2:5" ht="15.75">
      <c r="B87" s="125" t="s">
        <v>388</v>
      </c>
      <c r="D87" s="125">
        <f>D77-$D$80</f>
        <v>11.186630532971996</v>
      </c>
      <c r="E87" s="125">
        <f t="shared" si="13"/>
        <v>8.489964206078035</v>
      </c>
    </row>
  </sheetData>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5.xml><?xml version="1.0" encoding="utf-8"?>
<worksheet xmlns="http://schemas.openxmlformats.org/spreadsheetml/2006/main" xmlns:r="http://schemas.openxmlformats.org/officeDocument/2006/relationships">
  <sheetPr codeName="Sheet13"/>
  <dimension ref="A1:K41"/>
  <sheetViews>
    <sheetView zoomScale="75" zoomScaleNormal="75" workbookViewId="0" topLeftCell="C1">
      <selection activeCell="J12" sqref="J12"/>
    </sheetView>
  </sheetViews>
  <sheetFormatPr defaultColWidth="9.140625" defaultRowHeight="12.75"/>
  <cols>
    <col min="1" max="1" width="29.140625" style="120" customWidth="1"/>
    <col min="2" max="3" width="11.421875" style="120" customWidth="1"/>
    <col min="4" max="4" width="24.421875" style="120" customWidth="1"/>
    <col min="5" max="6" width="11.421875" style="120" customWidth="1"/>
    <col min="7" max="7" width="29.140625" style="120" customWidth="1"/>
    <col min="8" max="9" width="11.421875" style="120" customWidth="1"/>
    <col min="10" max="10" width="24.421875" style="120" customWidth="1"/>
    <col min="11" max="16384" width="11.421875" style="120" customWidth="1"/>
  </cols>
  <sheetData>
    <row r="1" spans="1:7" ht="15.75">
      <c r="A1" s="242" t="s">
        <v>404</v>
      </c>
      <c r="G1" s="243" t="s">
        <v>405</v>
      </c>
    </row>
    <row r="2" spans="2:11" ht="15.75">
      <c r="B2" s="120" t="s">
        <v>406</v>
      </c>
      <c r="D2" s="121" t="s">
        <v>392</v>
      </c>
      <c r="E2" s="121"/>
      <c r="H2" s="120" t="s">
        <v>406</v>
      </c>
      <c r="J2" s="121" t="s">
        <v>392</v>
      </c>
      <c r="K2" s="121"/>
    </row>
    <row r="3" spans="1:11" ht="15.75">
      <c r="A3" s="120" t="s">
        <v>57</v>
      </c>
      <c r="B3" s="120" t="s">
        <v>407</v>
      </c>
      <c r="E3" s="195" t="s">
        <v>407</v>
      </c>
      <c r="G3" s="120" t="s">
        <v>57</v>
      </c>
      <c r="H3" s="120" t="s">
        <v>407</v>
      </c>
      <c r="K3" s="195" t="s">
        <v>407</v>
      </c>
    </row>
    <row r="4" spans="1:11" ht="15.75">
      <c r="A4" s="120" t="s">
        <v>317</v>
      </c>
      <c r="B4" s="122">
        <f>32743/33537</f>
        <v>0.9763246563497033</v>
      </c>
      <c r="D4" s="120" t="s">
        <v>57</v>
      </c>
      <c r="E4" s="120" t="s">
        <v>312</v>
      </c>
      <c r="G4" s="120" t="s">
        <v>317</v>
      </c>
      <c r="H4" s="200">
        <f>692/642</f>
        <v>1.0778816199376946</v>
      </c>
      <c r="J4" s="120" t="s">
        <v>57</v>
      </c>
      <c r="K4" s="120" t="s">
        <v>312</v>
      </c>
    </row>
    <row r="5" spans="1:11" ht="15.75">
      <c r="A5" s="120" t="s">
        <v>326</v>
      </c>
      <c r="B5" s="122">
        <f>90976/149342</f>
        <v>0.6091789315798637</v>
      </c>
      <c r="D5" s="120" t="s">
        <v>313</v>
      </c>
      <c r="E5" s="122">
        <v>0.35</v>
      </c>
      <c r="G5" s="120" t="s">
        <v>326</v>
      </c>
      <c r="H5" s="200">
        <f>42597/83907</f>
        <v>0.507669205191462</v>
      </c>
      <c r="J5" s="120" t="s">
        <v>313</v>
      </c>
      <c r="K5" s="122">
        <v>0.33</v>
      </c>
    </row>
    <row r="6" spans="1:11" ht="15.75">
      <c r="A6" s="121" t="s">
        <v>327</v>
      </c>
      <c r="B6" s="122">
        <f>34027/59788</f>
        <v>0.5691275841305947</v>
      </c>
      <c r="D6" s="120" t="s">
        <v>316</v>
      </c>
      <c r="E6" s="122">
        <v>0.49</v>
      </c>
      <c r="G6" s="121" t="s">
        <v>327</v>
      </c>
      <c r="H6" s="200">
        <f>7920/17069</f>
        <v>0.4639990626281563</v>
      </c>
      <c r="J6" s="120" t="s">
        <v>316</v>
      </c>
      <c r="K6" s="122">
        <v>0.5</v>
      </c>
    </row>
    <row r="7" spans="1:11" ht="15.75">
      <c r="A7" s="120" t="s">
        <v>328</v>
      </c>
      <c r="B7" s="122">
        <f>8856/19935</f>
        <v>0.44424379232505645</v>
      </c>
      <c r="D7" s="120" t="s">
        <v>317</v>
      </c>
      <c r="E7" s="122">
        <v>0.57</v>
      </c>
      <c r="G7" s="120" t="s">
        <v>328</v>
      </c>
      <c r="H7" s="200">
        <f>87441/200793</f>
        <v>0.43547832842778383</v>
      </c>
      <c r="J7" s="120" t="s">
        <v>317</v>
      </c>
      <c r="K7" s="244" t="s">
        <v>314</v>
      </c>
    </row>
    <row r="8" spans="2:11" ht="15.75">
      <c r="B8" s="122"/>
      <c r="E8" s="122"/>
      <c r="H8" s="122"/>
      <c r="K8" s="122"/>
    </row>
    <row r="9" spans="1:10" ht="15.75">
      <c r="A9" s="230" t="s">
        <v>57</v>
      </c>
      <c r="B9" s="230" t="s">
        <v>391</v>
      </c>
      <c r="C9" s="230" t="s">
        <v>392</v>
      </c>
      <c r="D9" s="230" t="s">
        <v>408</v>
      </c>
      <c r="G9" s="230" t="s">
        <v>57</v>
      </c>
      <c r="H9" s="230" t="s">
        <v>391</v>
      </c>
      <c r="I9" s="230" t="s">
        <v>392</v>
      </c>
      <c r="J9" s="230" t="s">
        <v>408</v>
      </c>
    </row>
    <row r="10" spans="1:11" ht="15.75">
      <c r="A10" s="242" t="s">
        <v>313</v>
      </c>
      <c r="B10" s="245">
        <f>'Set Up Cost Analysis'!C22</f>
        <v>0.3973040601363316</v>
      </c>
      <c r="C10" s="232">
        <v>0.35</v>
      </c>
      <c r="D10" s="232">
        <v>0.51</v>
      </c>
      <c r="E10" s="122"/>
      <c r="G10" s="242" t="s">
        <v>313</v>
      </c>
      <c r="H10" s="245">
        <v>0.44</v>
      </c>
      <c r="I10" s="232">
        <v>0.33</v>
      </c>
      <c r="J10" s="232">
        <v>0.51</v>
      </c>
      <c r="K10" s="122"/>
    </row>
    <row r="11" spans="1:11" ht="15.75">
      <c r="A11" s="242" t="s">
        <v>409</v>
      </c>
      <c r="B11" s="245">
        <f>'Set Up Cost Analysis'!C23</f>
        <v>0.23001814007892882</v>
      </c>
      <c r="C11" s="232">
        <v>0.14</v>
      </c>
      <c r="D11" s="232">
        <v>0.14</v>
      </c>
      <c r="E11" s="122"/>
      <c r="G11" s="242" t="s">
        <v>409</v>
      </c>
      <c r="H11" s="245">
        <v>0.11</v>
      </c>
      <c r="I11" s="232">
        <v>0.17</v>
      </c>
      <c r="J11" s="232">
        <v>0.14</v>
      </c>
      <c r="K11" s="122"/>
    </row>
    <row r="12" spans="1:11" ht="15.75">
      <c r="A12" s="242" t="s">
        <v>410</v>
      </c>
      <c r="B12" s="245">
        <f>'Set Up Cost Analysis'!C24</f>
        <v>0.16728592005740278</v>
      </c>
      <c r="C12" s="232">
        <v>0.08</v>
      </c>
      <c r="D12" s="232">
        <v>0.1</v>
      </c>
      <c r="E12" s="122"/>
      <c r="G12" s="242" t="s">
        <v>410</v>
      </c>
      <c r="H12" s="245">
        <v>0.08</v>
      </c>
      <c r="I12" s="232">
        <v>0.12</v>
      </c>
      <c r="J12" s="232">
        <v>0.1</v>
      </c>
      <c r="K12" s="122"/>
    </row>
    <row r="13" spans="1:11" ht="15.75">
      <c r="A13" s="230" t="s">
        <v>317</v>
      </c>
      <c r="B13" s="245">
        <f>'Set Up Cost Analysis'!C25</f>
        <v>0.7946081202726633</v>
      </c>
      <c r="C13" s="232">
        <f>SUM(C10:C12)</f>
        <v>0.57</v>
      </c>
      <c r="D13" s="232">
        <f>SUM(D10:D12)</f>
        <v>0.75</v>
      </c>
      <c r="E13" s="122"/>
      <c r="G13" s="230" t="s">
        <v>317</v>
      </c>
      <c r="H13" s="245">
        <f>SUM(H10:H12)</f>
        <v>0.63</v>
      </c>
      <c r="I13" s="232">
        <f>SUM(I10:I12)</f>
        <v>0.62</v>
      </c>
      <c r="J13" s="232">
        <f>SUM(J10:J12)</f>
        <v>0.75</v>
      </c>
      <c r="K13" s="122"/>
    </row>
    <row r="14" spans="5:11" ht="15.75">
      <c r="E14" s="122"/>
      <c r="K14" s="122"/>
    </row>
    <row r="15" spans="1:11" ht="15.75">
      <c r="A15" s="120" t="s">
        <v>318</v>
      </c>
      <c r="B15" s="122">
        <f>189968/206196</f>
        <v>0.921298182311975</v>
      </c>
      <c r="D15" s="120" t="s">
        <v>318</v>
      </c>
      <c r="E15" s="122">
        <v>0.63</v>
      </c>
      <c r="G15" s="120" t="s">
        <v>318</v>
      </c>
      <c r="H15" s="200">
        <f>37991/52025</f>
        <v>0.7302450744834215</v>
      </c>
      <c r="J15" s="120" t="s">
        <v>318</v>
      </c>
      <c r="K15" s="122">
        <v>0.6</v>
      </c>
    </row>
    <row r="16" spans="1:11" ht="15.75">
      <c r="A16" s="121" t="s">
        <v>319</v>
      </c>
      <c r="B16" s="122">
        <f>212070/217977</f>
        <v>0.9729008106359845</v>
      </c>
      <c r="D16" s="120" t="s">
        <v>319</v>
      </c>
      <c r="E16" s="122">
        <v>0.66</v>
      </c>
      <c r="G16" s="121" t="s">
        <v>319</v>
      </c>
      <c r="H16" s="200">
        <f>28049/33334</f>
        <v>0.8414531709365812</v>
      </c>
      <c r="J16" s="120" t="s">
        <v>319</v>
      </c>
      <c r="K16" s="122">
        <v>0.63</v>
      </c>
    </row>
    <row r="17" spans="1:11" ht="15.75">
      <c r="A17" s="121" t="s">
        <v>320</v>
      </c>
      <c r="B17" s="122">
        <f>149856/144649</f>
        <v>1.035997483563661</v>
      </c>
      <c r="D17" s="120" t="s">
        <v>320</v>
      </c>
      <c r="E17" s="122">
        <v>0.73</v>
      </c>
      <c r="G17" s="121" t="s">
        <v>320</v>
      </c>
      <c r="H17" s="200">
        <f>49099/50203</f>
        <v>0.9780092823138059</v>
      </c>
      <c r="J17" s="120" t="s">
        <v>320</v>
      </c>
      <c r="K17" s="244" t="s">
        <v>314</v>
      </c>
    </row>
    <row r="18" spans="1:11" ht="15.75">
      <c r="A18" s="121"/>
      <c r="B18" s="122"/>
      <c r="E18" s="122"/>
      <c r="G18" s="121"/>
      <c r="H18" s="122"/>
      <c r="K18" s="122"/>
    </row>
    <row r="19" spans="1:11" ht="15.75">
      <c r="A19" s="230" t="s">
        <v>57</v>
      </c>
      <c r="B19" s="230" t="s">
        <v>391</v>
      </c>
      <c r="C19" s="230" t="s">
        <v>392</v>
      </c>
      <c r="D19" s="230" t="s">
        <v>408</v>
      </c>
      <c r="E19" s="122"/>
      <c r="G19" s="230" t="s">
        <v>57</v>
      </c>
      <c r="H19" s="230" t="s">
        <v>391</v>
      </c>
      <c r="I19" s="230" t="s">
        <v>392</v>
      </c>
      <c r="J19" s="230" t="s">
        <v>408</v>
      </c>
      <c r="K19" s="122"/>
    </row>
    <row r="20" spans="1:11" ht="15.75">
      <c r="A20" s="230" t="s">
        <v>318</v>
      </c>
      <c r="B20" s="232">
        <f>189968/206196</f>
        <v>0.921298182311975</v>
      </c>
      <c r="C20" s="232">
        <v>0.63</v>
      </c>
      <c r="D20" s="232">
        <v>0.58</v>
      </c>
      <c r="E20" s="122"/>
      <c r="G20" s="230" t="s">
        <v>318</v>
      </c>
      <c r="H20" s="232">
        <v>0.73</v>
      </c>
      <c r="I20" s="232">
        <v>0.6</v>
      </c>
      <c r="J20" s="232">
        <v>0.58</v>
      </c>
      <c r="K20" s="122"/>
    </row>
    <row r="21" spans="1:11" ht="15.75">
      <c r="A21" s="242" t="s">
        <v>411</v>
      </c>
      <c r="B21" s="232">
        <v>0.05</v>
      </c>
      <c r="C21" s="232">
        <v>0.03</v>
      </c>
      <c r="D21" s="232">
        <v>0.1</v>
      </c>
      <c r="E21" s="122"/>
      <c r="G21" s="242" t="s">
        <v>411</v>
      </c>
      <c r="H21" s="232">
        <v>0.09</v>
      </c>
      <c r="I21" s="232">
        <v>0.03</v>
      </c>
      <c r="J21" s="232">
        <v>0.1</v>
      </c>
      <c r="K21" s="122"/>
    </row>
    <row r="22" spans="1:11" ht="15.75">
      <c r="A22" s="242" t="s">
        <v>412</v>
      </c>
      <c r="B22" s="232">
        <v>0.07</v>
      </c>
      <c r="C22" s="232">
        <v>0.07</v>
      </c>
      <c r="D22" s="232">
        <v>0.08</v>
      </c>
      <c r="E22" s="122"/>
      <c r="G22" s="242" t="s">
        <v>412</v>
      </c>
      <c r="H22" s="232">
        <v>0.08</v>
      </c>
      <c r="I22" s="232">
        <v>0.08</v>
      </c>
      <c r="J22" s="232">
        <v>0.08</v>
      </c>
      <c r="K22" s="122"/>
    </row>
    <row r="23" spans="1:11" ht="15.75">
      <c r="A23" s="242" t="s">
        <v>320</v>
      </c>
      <c r="B23" s="232">
        <f>SUM(B20:B22)</f>
        <v>1.0412981823119751</v>
      </c>
      <c r="C23" s="232">
        <f>SUM(C20:C22)</f>
        <v>0.73</v>
      </c>
      <c r="D23" s="232">
        <f>SUM(D20:D22)</f>
        <v>0.7599999999999999</v>
      </c>
      <c r="E23" s="122"/>
      <c r="G23" s="242" t="s">
        <v>320</v>
      </c>
      <c r="H23" s="232">
        <f>SUM(H20:H22)</f>
        <v>0.8999999999999999</v>
      </c>
      <c r="I23" s="232">
        <f>SUM(I20:I22)</f>
        <v>0.71</v>
      </c>
      <c r="J23" s="232">
        <f>SUM(J20:J22)</f>
        <v>0.7599999999999999</v>
      </c>
      <c r="K23" s="122"/>
    </row>
    <row r="24" spans="1:11" ht="15.75">
      <c r="A24" s="230"/>
      <c r="B24" s="230"/>
      <c r="C24" s="230"/>
      <c r="E24" s="122"/>
      <c r="G24" s="230"/>
      <c r="H24" s="230"/>
      <c r="I24" s="230"/>
      <c r="K24" s="122"/>
    </row>
    <row r="25" spans="1:11" ht="15.75">
      <c r="A25" s="120" t="s">
        <v>321</v>
      </c>
      <c r="B25" s="122">
        <f>40249/61941</f>
        <v>0.6497957733972651</v>
      </c>
      <c r="D25" s="120" t="s">
        <v>321</v>
      </c>
      <c r="E25" s="122">
        <v>0.79</v>
      </c>
      <c r="G25" s="120" t="s">
        <v>321</v>
      </c>
      <c r="H25" s="200">
        <f>3607/6529</f>
        <v>0.5524582631337112</v>
      </c>
      <c r="J25" s="120" t="s">
        <v>321</v>
      </c>
      <c r="K25" s="122">
        <v>0.79</v>
      </c>
    </row>
    <row r="26" spans="1:11" ht="15.75">
      <c r="A26" s="120" t="s">
        <v>329</v>
      </c>
      <c r="B26" s="122">
        <f>56141/82283</f>
        <v>0.6822916033688611</v>
      </c>
      <c r="E26" s="122"/>
      <c r="G26" s="120" t="s">
        <v>329</v>
      </c>
      <c r="H26" s="200">
        <f>2584/3575</f>
        <v>0.7227972027972028</v>
      </c>
      <c r="K26" s="122"/>
    </row>
    <row r="27" spans="2:11" ht="15.75">
      <c r="B27" s="122"/>
      <c r="E27" s="122"/>
      <c r="H27" s="122"/>
      <c r="K27" s="122"/>
    </row>
    <row r="28" spans="1:11" ht="15.75">
      <c r="A28" s="230" t="s">
        <v>57</v>
      </c>
      <c r="B28" s="230" t="s">
        <v>391</v>
      </c>
      <c r="C28" s="230" t="s">
        <v>392</v>
      </c>
      <c r="D28" s="230" t="s">
        <v>408</v>
      </c>
      <c r="E28" s="122"/>
      <c r="G28" s="230" t="s">
        <v>57</v>
      </c>
      <c r="H28" s="230" t="s">
        <v>391</v>
      </c>
      <c r="I28" s="230" t="s">
        <v>392</v>
      </c>
      <c r="J28" s="230" t="s">
        <v>408</v>
      </c>
      <c r="K28" s="122"/>
    </row>
    <row r="29" spans="1:10" ht="15.75">
      <c r="A29" s="230" t="s">
        <v>321</v>
      </c>
      <c r="B29" s="232">
        <f>40249/61941</f>
        <v>0.6497957733972651</v>
      </c>
      <c r="C29" s="232">
        <v>0.79</v>
      </c>
      <c r="D29" s="230">
        <v>0.65</v>
      </c>
      <c r="G29" s="230" t="s">
        <v>321</v>
      </c>
      <c r="H29" s="232">
        <v>0.55</v>
      </c>
      <c r="I29" s="232">
        <v>0.79</v>
      </c>
      <c r="J29" s="230">
        <v>0.65</v>
      </c>
    </row>
    <row r="30" spans="1:11" ht="15.75">
      <c r="A30" s="230" t="s">
        <v>329</v>
      </c>
      <c r="B30" s="232">
        <f>56141/82283</f>
        <v>0.6822916033688611</v>
      </c>
      <c r="C30" s="230"/>
      <c r="D30" s="230" t="s">
        <v>314</v>
      </c>
      <c r="E30" s="122"/>
      <c r="G30" s="230" t="s">
        <v>329</v>
      </c>
      <c r="H30" s="232">
        <v>0.72</v>
      </c>
      <c r="I30" s="230" t="s">
        <v>413</v>
      </c>
      <c r="J30" s="230" t="s">
        <v>314</v>
      </c>
      <c r="K30" s="122"/>
    </row>
    <row r="32" spans="1:11" ht="31.5">
      <c r="A32" s="246" t="s">
        <v>322</v>
      </c>
      <c r="B32" s="122">
        <v>15.02</v>
      </c>
      <c r="D32" s="246" t="s">
        <v>322</v>
      </c>
      <c r="E32" s="122">
        <v>14.89</v>
      </c>
      <c r="G32" s="246" t="s">
        <v>322</v>
      </c>
      <c r="H32" s="200">
        <v>10.94</v>
      </c>
      <c r="J32" s="246" t="s">
        <v>322</v>
      </c>
      <c r="K32" s="122">
        <v>14.89</v>
      </c>
    </row>
    <row r="33" spans="1:11" ht="15.75">
      <c r="A33" s="246"/>
      <c r="B33" s="122"/>
      <c r="D33" s="246"/>
      <c r="E33" s="122"/>
      <c r="G33" s="246"/>
      <c r="H33" s="122"/>
      <c r="J33" s="246"/>
      <c r="K33" s="122"/>
    </row>
    <row r="34" spans="1:10" ht="15.75">
      <c r="A34" s="230" t="s">
        <v>57</v>
      </c>
      <c r="B34" s="230" t="s">
        <v>391</v>
      </c>
      <c r="C34" s="230" t="s">
        <v>392</v>
      </c>
      <c r="D34" s="230" t="s">
        <v>414</v>
      </c>
      <c r="E34" s="230" t="s">
        <v>408</v>
      </c>
      <c r="G34" s="230" t="s">
        <v>57</v>
      </c>
      <c r="H34" s="230" t="s">
        <v>391</v>
      </c>
      <c r="I34" s="230" t="s">
        <v>392</v>
      </c>
      <c r="J34" s="232" t="s">
        <v>408</v>
      </c>
    </row>
    <row r="35" spans="1:10" ht="31.5">
      <c r="A35" s="231" t="s">
        <v>322</v>
      </c>
      <c r="B35" s="232">
        <v>15.02</v>
      </c>
      <c r="C35" s="232">
        <v>14.89</v>
      </c>
      <c r="D35" s="247">
        <v>16.25</v>
      </c>
      <c r="E35" s="230">
        <v>15.63</v>
      </c>
      <c r="G35" s="231" t="s">
        <v>322</v>
      </c>
      <c r="H35" s="232">
        <v>10.94</v>
      </c>
      <c r="I35" s="232">
        <v>11.77</v>
      </c>
      <c r="J35" s="232">
        <v>15.63</v>
      </c>
    </row>
    <row r="36" spans="1:9" ht="15.75">
      <c r="A36" s="246"/>
      <c r="B36" s="122"/>
      <c r="C36" s="122"/>
      <c r="G36" s="246"/>
      <c r="H36" s="122"/>
      <c r="I36" s="122"/>
    </row>
    <row r="37" spans="1:10" ht="15.75">
      <c r="A37" s="230" t="s">
        <v>57</v>
      </c>
      <c r="B37" s="230" t="s">
        <v>391</v>
      </c>
      <c r="C37" s="230" t="s">
        <v>392</v>
      </c>
      <c r="D37" s="230" t="s">
        <v>408</v>
      </c>
      <c r="G37" s="230" t="s">
        <v>57</v>
      </c>
      <c r="H37" s="230" t="s">
        <v>391</v>
      </c>
      <c r="I37" s="230" t="s">
        <v>392</v>
      </c>
      <c r="J37" s="230" t="s">
        <v>408</v>
      </c>
    </row>
    <row r="38" spans="1:9" ht="15.75">
      <c r="A38" s="230"/>
      <c r="B38" s="230" t="s">
        <v>415</v>
      </c>
      <c r="C38" s="230" t="s">
        <v>415</v>
      </c>
      <c r="G38" s="230"/>
      <c r="H38" s="230" t="s">
        <v>415</v>
      </c>
      <c r="I38" s="230" t="s">
        <v>415</v>
      </c>
    </row>
    <row r="39" spans="1:10" ht="15.75">
      <c r="A39" s="230" t="s">
        <v>331</v>
      </c>
      <c r="B39" s="232">
        <f>8380/2393</f>
        <v>3.501880484747179</v>
      </c>
      <c r="C39" s="230" t="s">
        <v>314</v>
      </c>
      <c r="D39" s="230" t="s">
        <v>314</v>
      </c>
      <c r="G39" s="230" t="s">
        <v>331</v>
      </c>
      <c r="H39" s="248">
        <f>2109/610</f>
        <v>3.457377049180328</v>
      </c>
      <c r="I39" s="230" t="s">
        <v>314</v>
      </c>
      <c r="J39" s="230" t="s">
        <v>314</v>
      </c>
    </row>
    <row r="40" spans="1:3" ht="15.75">
      <c r="A40" s="120" t="s">
        <v>332</v>
      </c>
      <c r="B40" s="122">
        <f>10058/2810</f>
        <v>3.579359430604982</v>
      </c>
      <c r="C40" s="120" t="s">
        <v>314</v>
      </c>
    </row>
    <row r="41" spans="1:3" ht="15.75">
      <c r="A41" s="120" t="s">
        <v>333</v>
      </c>
      <c r="B41" s="122">
        <f>20002/3971</f>
        <v>5.037018383278771</v>
      </c>
      <c r="C41" s="120" t="s">
        <v>314</v>
      </c>
    </row>
  </sheetData>
  <printOptions gridLines="1" horizontalCentered="1" verticalCentered="1"/>
  <pageMargins left="0.5" right="0.5" top="0.5" bottom="0.5" header="0.5" footer="0.5"/>
  <pageSetup orientation="portrait" r:id="rId1"/>
  <headerFooter alignWithMargins="0">
    <oddHeader>&amp;C&amp;F</oddHeader>
  </headerFooter>
</worksheet>
</file>

<file path=xl/worksheets/sheet16.xml><?xml version="1.0" encoding="utf-8"?>
<worksheet xmlns="http://schemas.openxmlformats.org/spreadsheetml/2006/main" xmlns:r="http://schemas.openxmlformats.org/officeDocument/2006/relationships">
  <sheetPr codeName="Sheet14"/>
  <dimension ref="A1:J27"/>
  <sheetViews>
    <sheetView workbookViewId="0" topLeftCell="A13">
      <selection activeCell="D34" sqref="D34"/>
    </sheetView>
  </sheetViews>
  <sheetFormatPr defaultColWidth="9.140625" defaultRowHeight="12.75"/>
  <cols>
    <col min="1" max="1" width="29.00390625" style="120" customWidth="1"/>
    <col min="2" max="3" width="11.57421875" style="120" customWidth="1"/>
    <col min="4" max="4" width="12.28125" style="120" customWidth="1"/>
    <col min="5" max="6" width="13.140625" style="120" customWidth="1"/>
    <col min="7" max="7" width="18.140625" style="120" customWidth="1"/>
    <col min="8" max="8" width="28.140625" style="120" customWidth="1"/>
    <col min="9" max="10" width="11.421875" style="120" customWidth="1"/>
    <col min="11" max="11" width="12.57421875" style="120" customWidth="1"/>
    <col min="12" max="16384" width="11.421875" style="120" customWidth="1"/>
  </cols>
  <sheetData>
    <row r="1" ht="15.75">
      <c r="A1" s="242" t="s">
        <v>404</v>
      </c>
    </row>
    <row r="2" spans="2:8" ht="15.75">
      <c r="B2" s="122"/>
      <c r="E2" s="122"/>
      <c r="F2" s="122"/>
      <c r="H2" s="120">
        <v>1.070345240470964</v>
      </c>
    </row>
    <row r="3" spans="1:8" ht="47.25">
      <c r="A3" s="230" t="s">
        <v>57</v>
      </c>
      <c r="B3" s="249" t="s">
        <v>391</v>
      </c>
      <c r="C3" s="249" t="s">
        <v>392</v>
      </c>
      <c r="D3" s="249" t="s">
        <v>408</v>
      </c>
      <c r="E3" s="249" t="s">
        <v>416</v>
      </c>
      <c r="F3" s="249" t="s">
        <v>424</v>
      </c>
      <c r="G3" s="253" t="s">
        <v>437</v>
      </c>
      <c r="H3" s="252" t="s">
        <v>423</v>
      </c>
    </row>
    <row r="4" spans="1:8" ht="15.75">
      <c r="A4" s="242" t="s">
        <v>313</v>
      </c>
      <c r="B4" s="245">
        <v>0.3973040601363316</v>
      </c>
      <c r="C4" s="232">
        <v>0.35</v>
      </c>
      <c r="D4" s="232">
        <v>0.51</v>
      </c>
      <c r="E4" s="232">
        <v>0.51</v>
      </c>
      <c r="F4" s="232">
        <f>PacPUDResWXCst!K7</f>
        <v>1.158718036195294</v>
      </c>
      <c r="G4" s="250">
        <f>(B4+C4+D4+F4)/3</f>
        <v>0.8053406987772086</v>
      </c>
      <c r="H4" s="125">
        <f>G4*H$2</f>
        <v>0.8619925838937454</v>
      </c>
    </row>
    <row r="5" spans="1:8" ht="15.75">
      <c r="A5" s="242" t="s">
        <v>409</v>
      </c>
      <c r="B5" s="245">
        <v>0.23001814007892882</v>
      </c>
      <c r="C5" s="232">
        <v>0.14</v>
      </c>
      <c r="D5" s="232">
        <v>0.14</v>
      </c>
      <c r="E5" s="232">
        <v>0.14</v>
      </c>
      <c r="F5" s="232">
        <f>PacPUDResWXCst!J43</f>
        <v>0.3923602577203201</v>
      </c>
      <c r="G5" s="250">
        <f>(B5+C5)/2</f>
        <v>0.18500907003946443</v>
      </c>
      <c r="H5" s="125">
        <f aca="true" t="shared" si="0" ref="H5:H11">G5*H$2</f>
        <v>0.19802357756069996</v>
      </c>
    </row>
    <row r="6" spans="1:8" ht="15.75">
      <c r="A6" s="242" t="s">
        <v>410</v>
      </c>
      <c r="B6" s="245">
        <v>0.16728592005740278</v>
      </c>
      <c r="C6" s="232">
        <v>0.08</v>
      </c>
      <c r="D6" s="232">
        <v>0.1</v>
      </c>
      <c r="E6" s="232">
        <v>0.1</v>
      </c>
      <c r="F6" s="232">
        <f>PacPUDResWXCst!J42-PacPUDResWXCst!J41</f>
        <v>0.1747565157504719</v>
      </c>
      <c r="G6" s="250">
        <f>(B6+C6)/2</f>
        <v>0.1236429600287014</v>
      </c>
      <c r="H6" s="125">
        <f t="shared" si="0"/>
        <v>0.13234065378446216</v>
      </c>
    </row>
    <row r="7" spans="1:8" ht="15.75">
      <c r="A7" s="230" t="s">
        <v>317</v>
      </c>
      <c r="B7" s="245">
        <v>0.7946081202726633</v>
      </c>
      <c r="C7" s="232">
        <v>0.57</v>
      </c>
      <c r="D7" s="232">
        <v>0.75</v>
      </c>
      <c r="E7" s="232">
        <v>0.75</v>
      </c>
      <c r="F7" s="232">
        <f>PacPUDResWXCst!K35</f>
        <v>1.1284375281877732</v>
      </c>
      <c r="G7" s="250">
        <f>(B7+C7+F7)/3</f>
        <v>0.8310152161534788</v>
      </c>
      <c r="H7" s="125">
        <f t="shared" si="0"/>
        <v>0.8894731813688254</v>
      </c>
    </row>
    <row r="8" spans="1:8" ht="15.75">
      <c r="A8" s="230" t="s">
        <v>318</v>
      </c>
      <c r="B8" s="232">
        <v>0.921298182311975</v>
      </c>
      <c r="C8" s="232">
        <v>0.63</v>
      </c>
      <c r="D8" s="232">
        <v>0.58</v>
      </c>
      <c r="E8" s="232">
        <v>0.58</v>
      </c>
      <c r="F8" s="232">
        <f>PacPUDResWXCst!P14</f>
        <v>0.6871147117176439</v>
      </c>
      <c r="G8" s="250">
        <f>(B8+C8+F8)/3</f>
        <v>0.7461376313432062</v>
      </c>
      <c r="H8" s="125">
        <f t="shared" si="0"/>
        <v>0.7986248624444795</v>
      </c>
    </row>
    <row r="9" spans="1:8" ht="15.75">
      <c r="A9" s="242" t="s">
        <v>418</v>
      </c>
      <c r="B9" s="232">
        <v>0.12</v>
      </c>
      <c r="C9" s="232">
        <v>0.1</v>
      </c>
      <c r="D9" s="232">
        <v>0.1</v>
      </c>
      <c r="E9" s="232">
        <v>0.18</v>
      </c>
      <c r="F9" s="232">
        <f>F10-F8</f>
        <v>0.19453910418758424</v>
      </c>
      <c r="G9" s="250">
        <f>(B9+C9+F9)/3</f>
        <v>0.13817970139586142</v>
      </c>
      <c r="H9" s="125">
        <f t="shared" si="0"/>
        <v>0.14789998571875929</v>
      </c>
    </row>
    <row r="10" spans="1:8" ht="15.75">
      <c r="A10" s="242" t="s">
        <v>320</v>
      </c>
      <c r="B10" s="232">
        <v>1.0412981823119751</v>
      </c>
      <c r="C10" s="232">
        <v>0.73</v>
      </c>
      <c r="D10" s="232">
        <v>0.76</v>
      </c>
      <c r="E10" s="232">
        <v>0.76</v>
      </c>
      <c r="F10" s="232">
        <f>PacPUDResWXCst!P33</f>
        <v>0.8816538159052282</v>
      </c>
      <c r="G10" s="250">
        <f>(B10+C10+F10)/3</f>
        <v>0.8843173327390678</v>
      </c>
      <c r="H10" s="125">
        <f t="shared" si="0"/>
        <v>0.9465248481632389</v>
      </c>
    </row>
    <row r="11" spans="1:8" ht="15.75">
      <c r="A11" s="230" t="s">
        <v>321</v>
      </c>
      <c r="B11" s="232">
        <v>0.6497957733972651</v>
      </c>
      <c r="C11" s="232">
        <v>0.79</v>
      </c>
      <c r="D11" s="232">
        <v>0.65</v>
      </c>
      <c r="E11" s="232">
        <v>0.65</v>
      </c>
      <c r="F11" s="232">
        <f>PacPUDResWXCst!D31</f>
        <v>0.8236415633937083</v>
      </c>
      <c r="G11" s="250">
        <f>(B11+C11+F11)/3</f>
        <v>0.7544791122636578</v>
      </c>
      <c r="H11" s="125">
        <f t="shared" si="0"/>
        <v>0.8075531268461642</v>
      </c>
    </row>
    <row r="12" spans="1:8" ht="15.75">
      <c r="A12" s="230" t="s">
        <v>329</v>
      </c>
      <c r="B12" s="232">
        <v>0.6822916033688611</v>
      </c>
      <c r="C12" s="230" t="s">
        <v>314</v>
      </c>
      <c r="D12" s="230" t="s">
        <v>314</v>
      </c>
      <c r="E12" s="230" t="s">
        <v>314</v>
      </c>
      <c r="F12" s="230"/>
      <c r="G12" s="250"/>
      <c r="H12" s="125"/>
    </row>
    <row r="13" spans="1:8" ht="31.5">
      <c r="A13" s="231" t="s">
        <v>419</v>
      </c>
      <c r="B13" s="232">
        <v>15.02</v>
      </c>
      <c r="C13" s="232">
        <v>14.89</v>
      </c>
      <c r="D13" s="232">
        <v>15.63</v>
      </c>
      <c r="E13" s="232">
        <v>14.96</v>
      </c>
      <c r="F13" s="232"/>
      <c r="G13" s="250">
        <f>(B13+C13)/2</f>
        <v>14.955</v>
      </c>
      <c r="H13" s="125">
        <f>E13*H$2</f>
        <v>16.01236479744562</v>
      </c>
    </row>
    <row r="14" spans="1:10" ht="15.75">
      <c r="A14" s="246"/>
      <c r="B14" s="122"/>
      <c r="C14" s="122"/>
      <c r="H14" s="246"/>
      <c r="I14" s="122"/>
      <c r="J14" s="122"/>
    </row>
    <row r="15" ht="15.75">
      <c r="A15" s="243" t="s">
        <v>405</v>
      </c>
    </row>
    <row r="16" spans="2:6" ht="15.75">
      <c r="B16" s="122"/>
      <c r="E16" s="122"/>
      <c r="F16" s="122"/>
    </row>
    <row r="17" spans="1:7" ht="15.75">
      <c r="A17" s="230" t="s">
        <v>57</v>
      </c>
      <c r="B17" s="230" t="s">
        <v>391</v>
      </c>
      <c r="C17" s="230" t="s">
        <v>392</v>
      </c>
      <c r="D17" s="230" t="s">
        <v>408</v>
      </c>
      <c r="E17" s="230" t="s">
        <v>416</v>
      </c>
      <c r="F17" s="230"/>
      <c r="G17" s="120" t="s">
        <v>417</v>
      </c>
    </row>
    <row r="18" spans="1:8" ht="15.75">
      <c r="A18" s="242" t="s">
        <v>313</v>
      </c>
      <c r="B18" s="245">
        <v>0.44</v>
      </c>
      <c r="C18" s="232">
        <v>0.33</v>
      </c>
      <c r="D18" s="232">
        <v>0.51</v>
      </c>
      <c r="E18" s="232">
        <v>0.51</v>
      </c>
      <c r="F18" s="232"/>
      <c r="G18" s="250">
        <f aca="true" t="shared" si="1" ref="G18:G25">(B18+C18)/2</f>
        <v>0.385</v>
      </c>
      <c r="H18" s="125">
        <f aca="true" t="shared" si="2" ref="H18:H25">E18*H$2</f>
        <v>0.5458760726401916</v>
      </c>
    </row>
    <row r="19" spans="1:8" ht="15.75">
      <c r="A19" s="242" t="s">
        <v>409</v>
      </c>
      <c r="B19" s="245">
        <v>0.11</v>
      </c>
      <c r="C19" s="232">
        <v>0.17</v>
      </c>
      <c r="D19" s="232">
        <v>0.14</v>
      </c>
      <c r="E19" s="232">
        <v>0.14</v>
      </c>
      <c r="F19" s="232"/>
      <c r="G19" s="250">
        <f t="shared" si="1"/>
        <v>0.14</v>
      </c>
      <c r="H19" s="125">
        <f t="shared" si="2"/>
        <v>0.14984833366593497</v>
      </c>
    </row>
    <row r="20" spans="1:8" ht="15.75">
      <c r="A20" s="242" t="s">
        <v>410</v>
      </c>
      <c r="B20" s="245">
        <v>0.08</v>
      </c>
      <c r="C20" s="232">
        <v>0.12</v>
      </c>
      <c r="D20" s="232">
        <v>0.1</v>
      </c>
      <c r="E20" s="232">
        <v>0.1</v>
      </c>
      <c r="F20" s="232"/>
      <c r="G20" s="250">
        <f t="shared" si="1"/>
        <v>0.1</v>
      </c>
      <c r="H20" s="125">
        <f t="shared" si="2"/>
        <v>0.1070345240470964</v>
      </c>
    </row>
    <row r="21" spans="1:8" ht="15.75">
      <c r="A21" s="230" t="s">
        <v>317</v>
      </c>
      <c r="B21" s="245">
        <v>0.63</v>
      </c>
      <c r="C21" s="232">
        <v>0.62</v>
      </c>
      <c r="D21" s="232">
        <v>0.75</v>
      </c>
      <c r="E21" s="232">
        <v>0.75</v>
      </c>
      <c r="F21" s="232"/>
      <c r="G21" s="250">
        <f t="shared" si="1"/>
        <v>0.625</v>
      </c>
      <c r="H21" s="125">
        <f t="shared" si="2"/>
        <v>0.802758930353223</v>
      </c>
    </row>
    <row r="22" spans="1:8" ht="15.75">
      <c r="A22" s="230" t="s">
        <v>318</v>
      </c>
      <c r="B22" s="232">
        <v>0.73</v>
      </c>
      <c r="C22" s="232">
        <v>0.6</v>
      </c>
      <c r="D22" s="232">
        <v>0.58</v>
      </c>
      <c r="E22" s="232">
        <v>0.58</v>
      </c>
      <c r="F22" s="232"/>
      <c r="G22" s="250">
        <f t="shared" si="1"/>
        <v>0.665</v>
      </c>
      <c r="H22" s="125">
        <f t="shared" si="2"/>
        <v>0.620800239473159</v>
      </c>
    </row>
    <row r="23" spans="1:8" ht="15.75">
      <c r="A23" s="242" t="s">
        <v>418</v>
      </c>
      <c r="B23" s="232">
        <v>0.17</v>
      </c>
      <c r="C23" s="232">
        <v>0.11</v>
      </c>
      <c r="D23" s="232">
        <v>0.1</v>
      </c>
      <c r="E23" s="232">
        <v>0.18</v>
      </c>
      <c r="F23" s="232"/>
      <c r="G23" s="250">
        <f t="shared" si="1"/>
        <v>0.14</v>
      </c>
      <c r="H23" s="125">
        <f t="shared" si="2"/>
        <v>0.1926621432847735</v>
      </c>
    </row>
    <row r="24" spans="1:8" ht="15.75">
      <c r="A24" s="242" t="s">
        <v>320</v>
      </c>
      <c r="B24" s="232">
        <v>0.9</v>
      </c>
      <c r="C24" s="232">
        <v>0.71</v>
      </c>
      <c r="D24" s="232">
        <v>0.76</v>
      </c>
      <c r="E24" s="232">
        <v>0.76</v>
      </c>
      <c r="F24" s="232"/>
      <c r="G24" s="250">
        <f t="shared" si="1"/>
        <v>0.8049999999999999</v>
      </c>
      <c r="H24" s="125">
        <f t="shared" si="2"/>
        <v>0.8134623827579326</v>
      </c>
    </row>
    <row r="25" spans="1:8" ht="15.75">
      <c r="A25" s="230" t="s">
        <v>321</v>
      </c>
      <c r="B25" s="232">
        <v>0.55</v>
      </c>
      <c r="C25" s="232">
        <v>0.79</v>
      </c>
      <c r="D25" s="232">
        <v>0.65</v>
      </c>
      <c r="E25" s="232">
        <v>0.65</v>
      </c>
      <c r="F25" s="232"/>
      <c r="G25" s="250">
        <f t="shared" si="1"/>
        <v>0.67</v>
      </c>
      <c r="H25" s="125">
        <f t="shared" si="2"/>
        <v>0.6957244063061265</v>
      </c>
    </row>
    <row r="26" spans="1:8" ht="15.75">
      <c r="A26" s="230" t="s">
        <v>329</v>
      </c>
      <c r="B26" s="232">
        <v>0.72</v>
      </c>
      <c r="C26" s="230" t="s">
        <v>314</v>
      </c>
      <c r="D26" s="230" t="s">
        <v>314</v>
      </c>
      <c r="E26" s="230" t="s">
        <v>314</v>
      </c>
      <c r="F26" s="230"/>
      <c r="G26" s="250"/>
      <c r="H26" s="125"/>
    </row>
    <row r="27" spans="1:8" ht="31.5">
      <c r="A27" s="231" t="s">
        <v>419</v>
      </c>
      <c r="B27" s="232">
        <v>10.94</v>
      </c>
      <c r="C27" s="232">
        <v>11.77</v>
      </c>
      <c r="D27" s="232">
        <v>15.63</v>
      </c>
      <c r="E27" s="232">
        <v>11.36</v>
      </c>
      <c r="F27" s="232"/>
      <c r="G27" s="250">
        <f>(B27+C27)/2</f>
        <v>11.355</v>
      </c>
      <c r="H27" s="125">
        <f>E27*H$2</f>
        <v>12.15912193175015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6"/>
  <dimension ref="A2:H81"/>
  <sheetViews>
    <sheetView zoomScale="75" zoomScaleNormal="75" workbookViewId="0" topLeftCell="B1">
      <selection activeCell="C22" sqref="C22"/>
    </sheetView>
  </sheetViews>
  <sheetFormatPr defaultColWidth="9.140625" defaultRowHeight="12.75"/>
  <cols>
    <col min="1" max="1" width="11.421875" style="0" customWidth="1"/>
    <col min="2" max="2" width="10.00390625" style="557" customWidth="1"/>
    <col min="3" max="3" width="123.140625" style="0" customWidth="1"/>
    <col min="4" max="4" width="29.00390625" style="0" customWidth="1"/>
    <col min="6" max="6" width="10.28125" style="0" bestFit="1" customWidth="1"/>
    <col min="8" max="8" width="8.7109375" style="0" customWidth="1"/>
  </cols>
  <sheetData>
    <row r="2" spans="1:3" ht="25.5">
      <c r="A2" s="558" t="s">
        <v>505</v>
      </c>
      <c r="B2" s="559" t="s">
        <v>506</v>
      </c>
      <c r="C2" s="558" t="s">
        <v>507</v>
      </c>
    </row>
    <row r="3" spans="1:4" ht="12.75">
      <c r="A3" t="s">
        <v>526</v>
      </c>
      <c r="B3" s="557">
        <v>4692</v>
      </c>
      <c r="C3" t="s">
        <v>450</v>
      </c>
      <c r="D3" s="257">
        <f>B3/(SUM(B3:B5))</f>
        <v>0.03022786865179325</v>
      </c>
    </row>
    <row r="4" spans="1:4" ht="12.75">
      <c r="A4" t="s">
        <v>524</v>
      </c>
      <c r="B4" s="557">
        <v>13568</v>
      </c>
      <c r="C4" t="s">
        <v>449</v>
      </c>
      <c r="D4" s="257">
        <f>B4/(SUM(B3:B5))</f>
        <v>0.08741085291294348</v>
      </c>
    </row>
    <row r="5" spans="1:4" ht="12.75">
      <c r="A5" t="s">
        <v>512</v>
      </c>
      <c r="B5" s="251">
        <v>136961</v>
      </c>
      <c r="C5" t="s">
        <v>448</v>
      </c>
      <c r="D5" s="257">
        <f>B5/(SUM(B3:B5))</f>
        <v>0.8823612784352632</v>
      </c>
    </row>
    <row r="6" spans="1:4" ht="12.75">
      <c r="A6" t="s">
        <v>514</v>
      </c>
      <c r="B6" s="557">
        <v>46053.5</v>
      </c>
      <c r="C6" t="s">
        <v>459</v>
      </c>
      <c r="D6" s="257">
        <f>B6/(SUM(B6:B8))</f>
        <v>0.06007606447543754</v>
      </c>
    </row>
    <row r="7" spans="1:4" ht="12.75">
      <c r="A7" t="s">
        <v>516</v>
      </c>
      <c r="B7" s="557">
        <v>38090</v>
      </c>
      <c r="C7" t="s">
        <v>458</v>
      </c>
      <c r="D7" s="257">
        <f>B7/(SUM(B6:B8))</f>
        <v>0.04968780431171173</v>
      </c>
    </row>
    <row r="8" spans="1:4" ht="12.75">
      <c r="A8" t="s">
        <v>508</v>
      </c>
      <c r="B8" s="251">
        <v>682443</v>
      </c>
      <c r="C8" t="s">
        <v>457</v>
      </c>
      <c r="D8" s="257">
        <f>B8/(SUM(B6:B8))</f>
        <v>0.8902361312128507</v>
      </c>
    </row>
    <row r="9" spans="1:4" ht="12.75">
      <c r="A9" t="s">
        <v>523</v>
      </c>
      <c r="B9" s="557">
        <v>13657</v>
      </c>
      <c r="C9" t="s">
        <v>453</v>
      </c>
      <c r="D9" s="257">
        <f>B9/(SUM(B9:B11))</f>
        <v>0.023573702125896722</v>
      </c>
    </row>
    <row r="10" spans="1:4" ht="12.75">
      <c r="A10" t="s">
        <v>517</v>
      </c>
      <c r="B10" s="557">
        <v>32985</v>
      </c>
      <c r="C10" t="s">
        <v>452</v>
      </c>
      <c r="D10" s="257">
        <f>B10/(SUM(B9:B11))</f>
        <v>0.05693626452534989</v>
      </c>
    </row>
    <row r="11" spans="1:4" ht="12.75">
      <c r="A11" t="s">
        <v>510</v>
      </c>
      <c r="B11" s="251">
        <v>532690</v>
      </c>
      <c r="C11" t="s">
        <v>451</v>
      </c>
      <c r="D11" s="257">
        <f>B11/(SUM(B9:B11))</f>
        <v>0.9194900333487533</v>
      </c>
    </row>
    <row r="12" spans="1:4" ht="12.75">
      <c r="A12" t="s">
        <v>525</v>
      </c>
      <c r="B12" s="557">
        <v>6189</v>
      </c>
      <c r="C12" t="s">
        <v>456</v>
      </c>
      <c r="D12" s="257">
        <f>B12/(SUM(B12:B14))</f>
        <v>0.040553025587262065</v>
      </c>
    </row>
    <row r="13" spans="1:4" ht="12.75">
      <c r="A13" t="s">
        <v>528</v>
      </c>
      <c r="B13" s="557">
        <v>777</v>
      </c>
      <c r="C13" t="s">
        <v>455</v>
      </c>
      <c r="D13" s="257">
        <f>B13/(SUM(B12:B14))</f>
        <v>0.005091242669462373</v>
      </c>
    </row>
    <row r="14" spans="1:4" ht="12.75">
      <c r="A14" t="s">
        <v>513</v>
      </c>
      <c r="B14" s="251">
        <v>145649</v>
      </c>
      <c r="C14" t="s">
        <v>454</v>
      </c>
      <c r="D14" s="257">
        <f>B14/(SUM(B12:B14))</f>
        <v>0.9543557317432756</v>
      </c>
    </row>
    <row r="15" spans="1:4" ht="12.75">
      <c r="A15" t="s">
        <v>521</v>
      </c>
      <c r="B15" s="557">
        <v>19871.4</v>
      </c>
      <c r="C15" t="s">
        <v>447</v>
      </c>
      <c r="D15" s="257">
        <f>B15/(SUM(B15:B17))</f>
        <v>0.043385072263696284</v>
      </c>
    </row>
    <row r="16" spans="1:4" ht="12.75">
      <c r="A16" t="s">
        <v>518</v>
      </c>
      <c r="B16" s="557">
        <v>25841.5</v>
      </c>
      <c r="C16" t="s">
        <v>446</v>
      </c>
      <c r="D16" s="257">
        <f>B16/(SUM(B15:B17))</f>
        <v>0.05641954491894419</v>
      </c>
    </row>
    <row r="17" spans="1:4" ht="12.75">
      <c r="A17" t="s">
        <v>511</v>
      </c>
      <c r="B17" s="251">
        <v>412311</v>
      </c>
      <c r="C17" t="s">
        <v>445</v>
      </c>
      <c r="D17" s="257">
        <f>B17/(SUM(B15:B17))</f>
        <v>0.9001953828173594</v>
      </c>
    </row>
    <row r="18" spans="1:4" ht="12.75">
      <c r="A18" t="s">
        <v>515</v>
      </c>
      <c r="B18" s="557">
        <v>41317.2</v>
      </c>
      <c r="C18" t="s">
        <v>444</v>
      </c>
      <c r="D18" s="257">
        <f>B18/(SUM(B18:B20))</f>
        <v>0.6447229625560972</v>
      </c>
    </row>
    <row r="19" spans="1:4" ht="12.75">
      <c r="A19" t="s">
        <v>527</v>
      </c>
      <c r="B19" s="557">
        <v>2030</v>
      </c>
      <c r="C19" t="s">
        <v>443</v>
      </c>
      <c r="D19" s="257">
        <f>B19/(SUM(B18:B20))</f>
        <v>0.03167658055213997</v>
      </c>
    </row>
    <row r="20" spans="1:4" ht="12.75">
      <c r="A20" t="s">
        <v>520</v>
      </c>
      <c r="B20" s="557">
        <v>20738</v>
      </c>
      <c r="C20" t="s">
        <v>442</v>
      </c>
      <c r="D20" s="257">
        <f>B20/(SUM(B18:B20))</f>
        <v>0.32360045689176287</v>
      </c>
    </row>
    <row r="21" spans="1:4" ht="12.75">
      <c r="A21" t="s">
        <v>522</v>
      </c>
      <c r="B21" s="557">
        <v>17070.46</v>
      </c>
      <c r="C21" t="s">
        <v>441</v>
      </c>
      <c r="D21" s="257">
        <f>B21/(SUM(B21:B23))</f>
        <v>0.030193359288428027</v>
      </c>
    </row>
    <row r="22" spans="1:4" ht="12.75">
      <c r="A22" t="s">
        <v>519</v>
      </c>
      <c r="B22" s="557">
        <v>24379.75</v>
      </c>
      <c r="C22" t="s">
        <v>440</v>
      </c>
      <c r="D22" s="257">
        <f>B22/(SUM(B21:B23))</f>
        <v>0.04312165876678503</v>
      </c>
    </row>
    <row r="23" spans="1:4" ht="12.75">
      <c r="A23" t="s">
        <v>509</v>
      </c>
      <c r="B23" s="251">
        <v>523921.13</v>
      </c>
      <c r="C23" t="s">
        <v>439</v>
      </c>
      <c r="D23" s="257">
        <f>B23/(SUM(B21:B23))</f>
        <v>0.926684981944787</v>
      </c>
    </row>
    <row r="24" ht="12.75">
      <c r="B24" s="557">
        <f>SUM(B3:B23)</f>
        <v>2741234.94</v>
      </c>
    </row>
    <row r="25" ht="12.75">
      <c r="A25" t="s">
        <v>1</v>
      </c>
    </row>
    <row r="26" spans="1:3" ht="12.75">
      <c r="A26" s="257">
        <f>B26/B$33</f>
        <v>0.055795114437669546</v>
      </c>
      <c r="B26" s="560">
        <f>B5</f>
        <v>136961</v>
      </c>
      <c r="C26" t="str">
        <f>C5</f>
        <v>Single Family Weatherization - R0 to R19 Attic Insulation (Cost and Savings are per sq.ft. of attic area insulated) - Heating Zone 1</v>
      </c>
    </row>
    <row r="27" spans="1:3" ht="12.75">
      <c r="A27" s="257">
        <f aca="true" t="shared" si="0" ref="A27:A32">B27/B$33</f>
        <v>0.2780133416241596</v>
      </c>
      <c r="B27" s="560">
        <f>B8</f>
        <v>682443</v>
      </c>
      <c r="C27" t="str">
        <f>C8</f>
        <v>Single Family Weatherization - R19 to R38 Attic Insulation (Cost and Savings are per sq.ft. of attic area insulated) - Heating Zone 1</v>
      </c>
    </row>
    <row r="28" spans="1:3" ht="12.75">
      <c r="A28" s="257">
        <f t="shared" si="0"/>
        <v>0.21700702761955734</v>
      </c>
      <c r="B28" s="560">
        <f>B11</f>
        <v>532690</v>
      </c>
      <c r="C28" t="str">
        <f>C11</f>
        <v>Single Family Weatherization - R0 to R19 Floor Insulation (Cost and Savings are per sq.ft. of floor area insulated) - Heating Zone 1</v>
      </c>
    </row>
    <row r="29" spans="1:3" ht="12.75">
      <c r="A29" s="257">
        <f t="shared" si="0"/>
        <v>0.059334428214835845</v>
      </c>
      <c r="B29" s="560">
        <f>B14</f>
        <v>145649</v>
      </c>
      <c r="C29" t="str">
        <f>C14</f>
        <v>Single Family Weatherization - R19 to R30 Floor Insulation (Cost and Savings are per sq.ft. of floor area insulated) - Heating Zone 1</v>
      </c>
    </row>
    <row r="30" spans="1:3" ht="12.75">
      <c r="A30" s="257">
        <f t="shared" si="0"/>
        <v>0.1679670813509683</v>
      </c>
      <c r="B30" s="560">
        <f>B17</f>
        <v>412311</v>
      </c>
      <c r="C30" t="str">
        <f>C17</f>
        <v>Single Family Weatherization - R0 to R11 Wall Insulation (Cost and Savings are per sq.ft. of wall area insulated) - Heating Zone 1</v>
      </c>
    </row>
    <row r="31" spans="1:3" ht="12.75">
      <c r="A31" s="257">
        <f t="shared" si="0"/>
        <v>0.008448237696923877</v>
      </c>
      <c r="B31" s="560">
        <f>B20</f>
        <v>20738</v>
      </c>
      <c r="C31" t="str">
        <f>C20</f>
        <v>Single Family Weatherization - Infiltration Control (Cost and Savings per sq.ft. of floor area for each  0.1 ach reduction) - Heating Zone 1</v>
      </c>
    </row>
    <row r="32" spans="1:3" ht="12.75">
      <c r="A32" s="257">
        <f t="shared" si="0"/>
        <v>0.21343476905588557</v>
      </c>
      <c r="B32" s="560">
        <f>B23</f>
        <v>523921.13</v>
      </c>
      <c r="C32" t="str">
        <f>C23</f>
        <v>Single Family Weatherization - Energy Star Prime Window Replacement (Cost and Savings are per sq.ft. of glazed area replaced) - Heating Zone 1</v>
      </c>
    </row>
    <row r="33" ht="12.75">
      <c r="B33" s="557">
        <f>SUM(B26:B32)</f>
        <v>2454713.13</v>
      </c>
    </row>
    <row r="34" ht="12.75">
      <c r="A34" t="s">
        <v>2</v>
      </c>
    </row>
    <row r="35" spans="1:3" ht="12.75">
      <c r="A35" s="257">
        <f>B35/B$42</f>
        <v>0.09855361958288314</v>
      </c>
      <c r="B35" s="560">
        <f>B4</f>
        <v>13568</v>
      </c>
      <c r="C35" s="560" t="str">
        <f>C4</f>
        <v>Single Family Weatherization - R0 to R19 Attic Insulation (Cost and Savings are per sq.ft. of attic area insulated) - Heating Zone 2</v>
      </c>
    </row>
    <row r="36" spans="1:3" ht="12.75">
      <c r="A36" s="257">
        <f aca="true" t="shared" si="1" ref="A36:A41">B36/B$42</f>
        <v>0.27667359742865705</v>
      </c>
      <c r="B36" s="560">
        <f>B7</f>
        <v>38090</v>
      </c>
      <c r="C36" s="560" t="str">
        <f>C7</f>
        <v>Single Family Weatherization - R19 to R38 Attic Insulation (Cost and Savings are per sq.ft. of attic area insulated) - Heating Zone 2</v>
      </c>
    </row>
    <row r="37" spans="1:3" ht="12.75">
      <c r="A37" s="257">
        <f t="shared" si="1"/>
        <v>0.23959250751336972</v>
      </c>
      <c r="B37" s="560">
        <f>B10</f>
        <v>32985</v>
      </c>
      <c r="C37" s="560" t="str">
        <f>C10</f>
        <v>Single Family Weatherization - R0 to R19 Floor Insulation (Cost and Savings are per sq.ft. of floor area insulated) - Heating Zone 2</v>
      </c>
    </row>
    <row r="38" spans="1:3" ht="12.75">
      <c r="A38" s="257">
        <f t="shared" si="1"/>
        <v>0.005643879895039814</v>
      </c>
      <c r="B38" s="560">
        <f>B13</f>
        <v>777</v>
      </c>
      <c r="C38" s="560" t="str">
        <f>C13</f>
        <v>Single Family Weatherization - R19 to R30 Floor Insulation (Cost and Savings are per sq.ft. of floor area insulated) - Heating Zone 2</v>
      </c>
    </row>
    <row r="39" spans="1:3" ht="12.75">
      <c r="A39" s="257">
        <f t="shared" si="1"/>
        <v>0.18770440451437756</v>
      </c>
      <c r="B39" s="560">
        <f>B16</f>
        <v>25841.5</v>
      </c>
      <c r="C39" s="560" t="str">
        <f>C16</f>
        <v>Single Family Weatherization - R0 to R11 Wall Insulation (Cost and Savings are per sq.ft. of wall area insulated) - Heating Zone 2</v>
      </c>
    </row>
    <row r="40" spans="1:3" ht="12.75">
      <c r="A40" s="257">
        <f t="shared" si="1"/>
        <v>0.014745271797851766</v>
      </c>
      <c r="B40" s="560">
        <f>B19</f>
        <v>2030</v>
      </c>
      <c r="C40" s="560" t="str">
        <f>C19</f>
        <v>Single Family Weatherization - Infiltration Control (Cost and Savings per sq.ft. of floor area for each  0.1 ach reduction) - Heating Zone 2</v>
      </c>
    </row>
    <row r="41" spans="1:3" ht="12.75">
      <c r="A41" s="257">
        <f t="shared" si="1"/>
        <v>0.177086719267821</v>
      </c>
      <c r="B41" s="560">
        <f>B22</f>
        <v>24379.75</v>
      </c>
      <c r="C41" s="560" t="str">
        <f>C22</f>
        <v>Single Family Weatherization - Energy Star Prime Window Replacement (Cost and Savings are per sq.ft. of glazed area replaced) - Heating Zone 2</v>
      </c>
    </row>
    <row r="42" ht="12.75">
      <c r="B42" s="557">
        <f>SUM(B35:B41)</f>
        <v>137671.25</v>
      </c>
    </row>
    <row r="43" ht="12.75">
      <c r="A43" t="s">
        <v>3</v>
      </c>
    </row>
    <row r="44" spans="1:3" ht="12.75">
      <c r="A44" s="257">
        <f>B44/B$51</f>
        <v>0.03152154751718771</v>
      </c>
      <c r="B44" s="560">
        <f>B3</f>
        <v>4692</v>
      </c>
      <c r="C44" s="560" t="str">
        <f>C3</f>
        <v>Single Family Weatherization - R0 to R19 Attic Insulation (Cost and Savings are per sq.ft. of attic area insulated) - Heating Zone 3</v>
      </c>
    </row>
    <row r="45" spans="1:3" ht="12.75">
      <c r="A45" s="257">
        <f aca="true" t="shared" si="2" ref="A45:A50">B45/B$51</f>
        <v>0.3093942004652183</v>
      </c>
      <c r="B45" s="560">
        <f>B6</f>
        <v>46053.5</v>
      </c>
      <c r="C45" s="560" t="str">
        <f>C6</f>
        <v>Single Family Weatherization - R19 to R38 Attic Insulation (Cost and Savings are per sq.ft. of attic area insulated) - Heating Zone 3</v>
      </c>
    </row>
    <row r="46" spans="1:3" ht="12.75">
      <c r="A46" s="257">
        <f t="shared" si="2"/>
        <v>0.0917497387984298</v>
      </c>
      <c r="B46" s="560">
        <f>B9</f>
        <v>13657</v>
      </c>
      <c r="C46" s="560" t="str">
        <f>C9</f>
        <v>Single Family Weatherization - R0 to R19 Floor Insulation (Cost and Savings are per sq.ft. of floor area insulated) - Heating Zone 3</v>
      </c>
    </row>
    <row r="47" spans="1:3" ht="12.75">
      <c r="A47" s="257">
        <f t="shared" si="2"/>
        <v>0.041578614148310905</v>
      </c>
      <c r="B47" s="560">
        <f>B12</f>
        <v>6189</v>
      </c>
      <c r="C47" s="560" t="str">
        <f>C12</f>
        <v>Single Family Weatherization - R19 to R30 Floor Insulation (Cost and Savings are per sq.ft. of floor area insulated) - Heating Zone 3</v>
      </c>
    </row>
    <row r="48" spans="1:3" ht="12.75">
      <c r="A48" s="257">
        <f t="shared" si="2"/>
        <v>0.13349899389024808</v>
      </c>
      <c r="B48" s="560">
        <f>B15</f>
        <v>19871.4</v>
      </c>
      <c r="C48" s="560" t="str">
        <f>C15</f>
        <v>Single Family Weatherization - R0 to R11 Wall Insulation (Cost and Savings are per sq.ft. of wall area insulated) - Heating Zone 3</v>
      </c>
    </row>
    <row r="49" spans="1:3" ht="12.75">
      <c r="A49" s="257">
        <f t="shared" si="2"/>
        <v>0.27757503901900005</v>
      </c>
      <c r="B49" s="560">
        <f>B18</f>
        <v>41317.2</v>
      </c>
      <c r="C49" s="560" t="str">
        <f>C18</f>
        <v>Single Family Weatherization - Infiltration Control (Cost and Savings per sq.ft. of floor area for each  0.1 ach reduction) - Heating Zone 3</v>
      </c>
    </row>
    <row r="50" spans="1:3" ht="12.75">
      <c r="A50" s="257">
        <f t="shared" si="2"/>
        <v>0.11468186616160532</v>
      </c>
      <c r="B50" s="560">
        <f>B21</f>
        <v>17070.46</v>
      </c>
      <c r="C50" s="560" t="str">
        <f>C21</f>
        <v>Single Family Weatherization - Energy Star Prime Window Replacement (Cost and Savings are per sq.ft. of glazed area replaced) - Heating Zone 3</v>
      </c>
    </row>
    <row r="51" ht="12.75">
      <c r="B51" s="557">
        <f>SUM(B44:B50)</f>
        <v>148850.55999999997</v>
      </c>
    </row>
    <row r="52" spans="1:3" ht="12.75">
      <c r="A52" s="255" t="s">
        <v>4</v>
      </c>
      <c r="B52" s="562"/>
      <c r="C52" s="255"/>
    </row>
    <row r="53" spans="1:3" ht="12.75">
      <c r="A53" s="561">
        <f>B53/B$60</f>
        <v>0.05662447889271396</v>
      </c>
      <c r="B53" s="562">
        <f>B26+B35+B44</f>
        <v>155221</v>
      </c>
      <c r="C53" s="563" t="s">
        <v>529</v>
      </c>
    </row>
    <row r="54" spans="1:3" ht="12.75">
      <c r="A54" s="561">
        <f aca="true" t="shared" si="3" ref="A54:A59">B54/B$60</f>
        <v>0.27965005436564294</v>
      </c>
      <c r="B54" s="562">
        <f aca="true" t="shared" si="4" ref="B54:B60">B27+B36+B45</f>
        <v>766586.5</v>
      </c>
      <c r="C54" s="563" t="s">
        <v>530</v>
      </c>
    </row>
    <row r="55" spans="1:3" ht="12.75">
      <c r="A55" s="561">
        <f t="shared" si="3"/>
        <v>0.21133978395883135</v>
      </c>
      <c r="B55" s="562">
        <f t="shared" si="4"/>
        <v>579332</v>
      </c>
      <c r="C55" s="563" t="s">
        <v>531</v>
      </c>
    </row>
    <row r="56" spans="1:3" ht="12.75">
      <c r="A56" s="561">
        <f t="shared" si="3"/>
        <v>0.05567381247519047</v>
      </c>
      <c r="B56" s="562">
        <f t="shared" si="4"/>
        <v>152615</v>
      </c>
      <c r="C56" s="563" t="s">
        <v>532</v>
      </c>
    </row>
    <row r="57" spans="1:3" ht="12.75">
      <c r="A57" s="561">
        <f t="shared" si="3"/>
        <v>0.16708669998201614</v>
      </c>
      <c r="B57" s="562">
        <f t="shared" si="4"/>
        <v>458023.9</v>
      </c>
      <c r="C57" s="563" t="s">
        <v>533</v>
      </c>
    </row>
    <row r="58" spans="1:3" ht="12.75">
      <c r="A58" s="561">
        <f t="shared" si="3"/>
        <v>0.023378222371556377</v>
      </c>
      <c r="B58" s="562">
        <f t="shared" si="4"/>
        <v>64085.2</v>
      </c>
      <c r="C58" s="563" t="s">
        <v>534</v>
      </c>
    </row>
    <row r="59" spans="1:3" ht="12.75">
      <c r="A59" s="561">
        <f t="shared" si="3"/>
        <v>0.20624694795404877</v>
      </c>
      <c r="B59" s="562">
        <f t="shared" si="4"/>
        <v>565371.34</v>
      </c>
      <c r="C59" s="563" t="s">
        <v>535</v>
      </c>
    </row>
    <row r="60" spans="2:3" ht="12.75">
      <c r="B60" s="557">
        <f t="shared" si="4"/>
        <v>2741234.94</v>
      </c>
      <c r="C60" s="557">
        <f>C33</f>
        <v>0</v>
      </c>
    </row>
    <row r="62" spans="1:4" ht="12.75">
      <c r="A62" s="257">
        <f>B62/B$64</f>
        <v>0.16838765143481693</v>
      </c>
      <c r="B62" s="557">
        <v>155221</v>
      </c>
      <c r="C62" s="563" t="s">
        <v>529</v>
      </c>
      <c r="D62" s="560">
        <f>B62/H$75</f>
        <v>156.9855172134795</v>
      </c>
    </row>
    <row r="63" spans="1:4" ht="12.75">
      <c r="A63" s="257">
        <f>B63/B$64</f>
        <v>0.8316123485651831</v>
      </c>
      <c r="B63" s="557">
        <v>766586.5</v>
      </c>
      <c r="C63" s="563" t="s">
        <v>530</v>
      </c>
      <c r="D63" s="560">
        <f>B63/H$75</f>
        <v>775.3008819126987</v>
      </c>
    </row>
    <row r="64" spans="2:3" ht="12.75">
      <c r="B64" s="557">
        <f>SUM(B62:B63)</f>
        <v>921807.5</v>
      </c>
      <c r="C64" s="563" t="s">
        <v>539</v>
      </c>
    </row>
    <row r="65" spans="1:4" ht="12.75">
      <c r="A65" s="257">
        <f>B65/B$67</f>
        <v>0.7914944661293782</v>
      </c>
      <c r="B65" s="557">
        <v>579332</v>
      </c>
      <c r="C65" s="563" t="s">
        <v>531</v>
      </c>
      <c r="D65" s="560">
        <f>B65/H$77</f>
        <v>585.9177151179255</v>
      </c>
    </row>
    <row r="66" spans="1:4" ht="12.75">
      <c r="A66" s="257">
        <f>B66/B$67</f>
        <v>0.2085055338706218</v>
      </c>
      <c r="B66" s="557">
        <v>152615</v>
      </c>
      <c r="C66" s="563" t="s">
        <v>532</v>
      </c>
      <c r="D66" s="560">
        <f>B66/H$77</f>
        <v>154.349892795016</v>
      </c>
    </row>
    <row r="67" spans="2:3" ht="12.75">
      <c r="B67" s="557">
        <f>SUM(B65:B66)</f>
        <v>731947</v>
      </c>
      <c r="C67" s="563"/>
    </row>
    <row r="68" spans="2:4" ht="12.75">
      <c r="B68" s="557">
        <v>458023.9</v>
      </c>
      <c r="C68" s="563" t="s">
        <v>533</v>
      </c>
      <c r="D68" s="560">
        <f>B68/H$74</f>
        <v>386.51805907172997</v>
      </c>
    </row>
    <row r="69" spans="2:3" ht="12.75">
      <c r="B69" s="557">
        <v>64085.2</v>
      </c>
      <c r="C69" s="563" t="s">
        <v>534</v>
      </c>
    </row>
    <row r="70" spans="2:4" ht="12.75">
      <c r="B70" s="557">
        <v>565371.34</v>
      </c>
      <c r="C70" s="563" t="s">
        <v>535</v>
      </c>
      <c r="D70" s="560">
        <f>B70/H78</f>
        <v>2721.7953976506838</v>
      </c>
    </row>
    <row r="73" spans="4:8" ht="12.75">
      <c r="D73" s="569" t="s">
        <v>540</v>
      </c>
      <c r="E73" s="569">
        <v>850</v>
      </c>
      <c r="F73" s="569">
        <v>1350</v>
      </c>
      <c r="G73" s="569">
        <v>2184</v>
      </c>
      <c r="H73" s="574">
        <f>SUMPRODUCT('Cost-Effectiveness Level'!$I$3:$K$3,E73:G73)</f>
        <v>1600.28</v>
      </c>
    </row>
    <row r="74" spans="4:8" ht="12.75">
      <c r="D74" s="570" t="s">
        <v>541</v>
      </c>
      <c r="E74" s="571">
        <v>810</v>
      </c>
      <c r="F74" s="571">
        <v>1011</v>
      </c>
      <c r="G74" s="571">
        <v>1521</v>
      </c>
      <c r="H74" s="573">
        <f>SUMPRODUCT('Cost-Effectiveness Level'!$I$3:$K$3,E74:G74)</f>
        <v>1185</v>
      </c>
    </row>
    <row r="75" spans="4:8" ht="12.75">
      <c r="D75" s="570" t="s">
        <v>279</v>
      </c>
      <c r="E75" s="571">
        <v>850</v>
      </c>
      <c r="F75" s="571">
        <v>1350</v>
      </c>
      <c r="G75" s="571">
        <v>728</v>
      </c>
      <c r="H75" s="573">
        <f>SUMPRODUCT('Cost-Effectiveness Level'!$I$3:$K$3,E75:G75)</f>
        <v>988.76</v>
      </c>
    </row>
    <row r="76" spans="4:8" ht="12.75">
      <c r="D76" s="570" t="s">
        <v>542</v>
      </c>
      <c r="E76" s="571">
        <v>0</v>
      </c>
      <c r="F76" s="571">
        <v>0</v>
      </c>
      <c r="G76" s="571">
        <v>0</v>
      </c>
      <c r="H76" s="573">
        <f>SUMPRODUCT('Cost-Effectiveness Level'!$I$3:$K$3,E76:G76)</f>
        <v>0</v>
      </c>
    </row>
    <row r="77" spans="4:8" ht="12.75">
      <c r="D77" s="572" t="s">
        <v>282</v>
      </c>
      <c r="E77" s="571">
        <v>850</v>
      </c>
      <c r="F77" s="571">
        <v>1350</v>
      </c>
      <c r="G77" s="571">
        <v>728</v>
      </c>
      <c r="H77" s="573">
        <f>SUMPRODUCT('Cost-Effectiveness Level'!$I$3:$K$3,E77:G77)</f>
        <v>988.76</v>
      </c>
    </row>
    <row r="78" spans="4:8" ht="12.75">
      <c r="D78" s="572" t="s">
        <v>239</v>
      </c>
      <c r="E78" s="571">
        <v>94</v>
      </c>
      <c r="F78" s="571">
        <v>149</v>
      </c>
      <c r="G78" s="571">
        <v>315</v>
      </c>
      <c r="H78" s="573">
        <f>SUMPRODUCT('Cost-Effectiveness Level'!$I$3:$K$3,E78:G78)</f>
        <v>207.71999999999997</v>
      </c>
    </row>
    <row r="79" spans="4:8" ht="12.75">
      <c r="D79" s="570" t="s">
        <v>543</v>
      </c>
      <c r="E79" s="571">
        <v>40</v>
      </c>
      <c r="F79" s="571">
        <v>40</v>
      </c>
      <c r="G79" s="571">
        <v>40</v>
      </c>
      <c r="H79" s="573">
        <f>SUMPRODUCT('Cost-Effectiveness Level'!$I$3:$K$3,E79:G79)</f>
        <v>40</v>
      </c>
    </row>
    <row r="80" spans="4:8" ht="12.75">
      <c r="D80" s="572" t="s">
        <v>544</v>
      </c>
      <c r="E80" s="571">
        <v>0</v>
      </c>
      <c r="F80" s="571">
        <v>0</v>
      </c>
      <c r="G80" s="571">
        <v>864</v>
      </c>
      <c r="H80" s="573">
        <f>SUMPRODUCT('Cost-Effectiveness Level'!$I$3:$K$3,E80:G80)</f>
        <v>362.88</v>
      </c>
    </row>
    <row r="81" spans="4:8" ht="12.75">
      <c r="D81" s="570" t="s">
        <v>545</v>
      </c>
      <c r="E81" s="571">
        <v>6800</v>
      </c>
      <c r="F81" s="571">
        <v>10800</v>
      </c>
      <c r="G81" s="571">
        <v>17472</v>
      </c>
      <c r="H81" s="573">
        <f>SUMPRODUCT('Cost-Effectiveness Level'!$I$3:$K$3,E81:G81)</f>
        <v>12802.24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6</v>
      </c>
      <c r="B1" s="2"/>
      <c r="C1"/>
      <c r="D1" s="25" t="s">
        <v>7</v>
      </c>
      <c r="E1" s="25"/>
      <c r="F1" s="26"/>
      <c r="G1" s="27"/>
      <c r="H1" s="26"/>
      <c r="I1" s="26"/>
      <c r="J1"/>
      <c r="K1"/>
    </row>
    <row r="2" spans="1:11" ht="15" customHeight="1">
      <c r="A2" s="17" t="s">
        <v>8</v>
      </c>
      <c r="B2" s="18">
        <v>45</v>
      </c>
      <c r="C2" s="4"/>
      <c r="D2" s="17"/>
      <c r="E2" s="17"/>
      <c r="F2" s="28" t="s">
        <v>25</v>
      </c>
      <c r="G2" s="28" t="s">
        <v>26</v>
      </c>
      <c r="H2" s="28" t="s">
        <v>27</v>
      </c>
      <c r="I2" s="28" t="s">
        <v>9</v>
      </c>
      <c r="J2"/>
      <c r="K2"/>
    </row>
    <row r="3" spans="1:11" ht="15" customHeight="1">
      <c r="A3" s="17" t="s">
        <v>10</v>
      </c>
      <c r="B3" s="18">
        <v>2001</v>
      </c>
      <c r="C3" s="4"/>
      <c r="D3" s="17" t="s">
        <v>11</v>
      </c>
      <c r="E3" s="17"/>
      <c r="F3" s="19">
        <v>0.07</v>
      </c>
      <c r="G3" s="19">
        <v>0.05</v>
      </c>
      <c r="H3" s="19">
        <v>0.0475</v>
      </c>
      <c r="I3" s="19">
        <v>0.05</v>
      </c>
      <c r="J3"/>
      <c r="K3"/>
    </row>
    <row r="4" spans="1:11" ht="15" customHeight="1">
      <c r="A4" s="17" t="s">
        <v>12</v>
      </c>
      <c r="B4" s="18">
        <v>2000</v>
      </c>
      <c r="C4" s="4"/>
      <c r="D4" s="17" t="s">
        <v>13</v>
      </c>
      <c r="E4" s="17"/>
      <c r="F4" s="18">
        <v>10</v>
      </c>
      <c r="G4" s="18">
        <v>10</v>
      </c>
      <c r="H4" s="18">
        <v>15</v>
      </c>
      <c r="I4" s="18">
        <v>1</v>
      </c>
      <c r="J4"/>
      <c r="K4"/>
    </row>
    <row r="5" spans="1:11" ht="15" customHeight="1">
      <c r="A5" s="17" t="s">
        <v>14</v>
      </c>
      <c r="B5" s="18">
        <v>2000</v>
      </c>
      <c r="C5" s="4"/>
      <c r="D5" s="17" t="s">
        <v>28</v>
      </c>
      <c r="E5" s="17"/>
      <c r="F5" s="20">
        <v>0</v>
      </c>
      <c r="G5" s="20">
        <v>0</v>
      </c>
      <c r="H5" s="20">
        <v>1</v>
      </c>
      <c r="I5" s="29"/>
      <c r="J5"/>
      <c r="K5"/>
    </row>
    <row r="6" spans="1:11" ht="15" customHeight="1">
      <c r="A6" s="17" t="s">
        <v>15</v>
      </c>
      <c r="B6" s="19">
        <v>0.0475</v>
      </c>
      <c r="C6" s="4"/>
      <c r="D6" s="5"/>
      <c r="E6" s="5"/>
      <c r="F6" s="5"/>
      <c r="G6" s="5"/>
      <c r="H6" s="5"/>
      <c r="I6" s="5"/>
      <c r="J6"/>
      <c r="K6"/>
    </row>
    <row r="7" spans="1:11" ht="15" customHeight="1">
      <c r="A7" s="17" t="s">
        <v>16</v>
      </c>
      <c r="B7" s="20">
        <v>0</v>
      </c>
      <c r="C7" s="4"/>
      <c r="D7" s="6" t="s">
        <v>17</v>
      </c>
      <c r="E7" s="6"/>
      <c r="F7" s="16" t="b">
        <v>1</v>
      </c>
      <c r="G7" s="5"/>
      <c r="H7" s="5"/>
      <c r="I7"/>
      <c r="K7"/>
    </row>
    <row r="8" spans="1:11" ht="15" customHeight="1">
      <c r="A8" s="17" t="s">
        <v>18</v>
      </c>
      <c r="B8" s="20">
        <v>0</v>
      </c>
      <c r="C8" s="4"/>
      <c r="D8" s="30" t="s">
        <v>162</v>
      </c>
      <c r="E8" s="31" t="b">
        <v>0</v>
      </c>
      <c r="F8" s="16"/>
      <c r="G8" s="5"/>
      <c r="H8" s="5"/>
      <c r="I8"/>
      <c r="J8"/>
      <c r="K8"/>
    </row>
    <row r="9" spans="1:11" ht="15" customHeight="1">
      <c r="A9" s="17" t="s">
        <v>29</v>
      </c>
      <c r="B9" s="21">
        <v>1</v>
      </c>
      <c r="C9" s="4"/>
      <c r="D9" s="92" t="s">
        <v>244</v>
      </c>
      <c r="E9" s="31" t="b">
        <v>1</v>
      </c>
      <c r="F9"/>
      <c r="G9" s="5"/>
      <c r="H9" s="5"/>
      <c r="I9"/>
      <c r="J9"/>
      <c r="K9"/>
    </row>
    <row r="10" spans="1:10" ht="15" customHeight="1">
      <c r="A10" s="17" t="s">
        <v>30</v>
      </c>
      <c r="B10" s="21">
        <v>0</v>
      </c>
      <c r="C10" s="4"/>
      <c r="D10" s="30" t="s">
        <v>197</v>
      </c>
      <c r="E10" s="32" t="b">
        <v>1</v>
      </c>
      <c r="F10" s="8"/>
      <c r="G10" s="9"/>
      <c r="H10" s="5"/>
      <c r="I10"/>
      <c r="J10"/>
    </row>
    <row r="11" spans="1:11" s="10" customFormat="1" ht="15" customHeight="1">
      <c r="A11" s="87" t="s">
        <v>31</v>
      </c>
      <c r="B11" s="21">
        <v>0</v>
      </c>
      <c r="C11" s="4"/>
      <c r="D11" s="30" t="s">
        <v>198</v>
      </c>
      <c r="E11" s="32" t="b">
        <v>1</v>
      </c>
      <c r="F11" s="5"/>
      <c r="G11" s="5"/>
      <c r="H11" s="5"/>
      <c r="I11"/>
      <c r="J11"/>
      <c r="K11" s="3"/>
    </row>
    <row r="12" spans="1:10" ht="15" customHeight="1">
      <c r="A12" s="17" t="s">
        <v>32</v>
      </c>
      <c r="B12" s="18">
        <v>45</v>
      </c>
      <c r="C12" s="4"/>
      <c r="D12" s="30" t="s">
        <v>199</v>
      </c>
      <c r="E12" s="32" t="b">
        <v>1</v>
      </c>
      <c r="F12" s="4"/>
      <c r="G12" s="5"/>
      <c r="H12" s="5"/>
      <c r="I12"/>
      <c r="J12" s="11"/>
    </row>
    <row r="13" spans="1:9" ht="15" customHeight="1">
      <c r="A13" s="34" t="s">
        <v>34</v>
      </c>
      <c r="B13" s="20">
        <v>0.025</v>
      </c>
      <c r="C13" s="4"/>
      <c r="D13" s="17" t="s">
        <v>245</v>
      </c>
      <c r="E13" s="33" t="b">
        <v>0</v>
      </c>
      <c r="F13" s="4"/>
      <c r="G13" s="5"/>
      <c r="H13" s="5"/>
      <c r="I13"/>
    </row>
    <row r="14" spans="1:9" ht="15" customHeight="1">
      <c r="A14" s="34" t="s">
        <v>33</v>
      </c>
      <c r="B14" s="22">
        <v>3</v>
      </c>
      <c r="C14" s="4"/>
      <c r="D14" s="17" t="s">
        <v>499</v>
      </c>
      <c r="E14" s="33" t="b">
        <v>0</v>
      </c>
      <c r="F14" s="5"/>
      <c r="G14" s="5"/>
      <c r="H14" s="5"/>
      <c r="I14"/>
    </row>
    <row r="15" spans="1:9" ht="14.25">
      <c r="A15" s="34" t="s">
        <v>35</v>
      </c>
      <c r="B15" s="20">
        <v>0.05</v>
      </c>
      <c r="C15" s="4"/>
      <c r="D15" s="17" t="s">
        <v>246</v>
      </c>
      <c r="E15" s="33" t="b">
        <v>0</v>
      </c>
      <c r="F15" s="5"/>
      <c r="G15" s="13"/>
      <c r="H15" s="5"/>
      <c r="I15"/>
    </row>
    <row r="16" spans="1:9" ht="14.25">
      <c r="A16" s="34" t="s">
        <v>36</v>
      </c>
      <c r="B16" s="22">
        <v>20</v>
      </c>
      <c r="C16" s="4"/>
      <c r="D16" s="17" t="s">
        <v>420</v>
      </c>
      <c r="E16" s="33" t="b">
        <v>0</v>
      </c>
      <c r="F16" s="4"/>
      <c r="G16" s="5"/>
      <c r="H16" s="5"/>
      <c r="I16" s="5"/>
    </row>
    <row r="17" spans="1:9" ht="14.25">
      <c r="A17" s="17" t="s">
        <v>19</v>
      </c>
      <c r="B17" s="23">
        <v>0</v>
      </c>
      <c r="C17" s="4"/>
      <c r="D17" s="17" t="s">
        <v>558</v>
      </c>
      <c r="E17" s="33" t="b">
        <v>0</v>
      </c>
      <c r="F17" s="4"/>
      <c r="G17" s="5"/>
      <c r="H17"/>
      <c r="I17" s="5"/>
    </row>
    <row r="18" spans="1:9" ht="14.25">
      <c r="A18" s="17" t="s">
        <v>20</v>
      </c>
      <c r="B18" s="24">
        <v>0.1</v>
      </c>
      <c r="C18" s="4"/>
      <c r="D18" s="5"/>
      <c r="E18" s="5"/>
      <c r="F18" s="4"/>
      <c r="G18" s="5"/>
      <c r="H18" s="5"/>
      <c r="I18" s="5"/>
    </row>
    <row r="19" spans="1:9" ht="15" customHeight="1">
      <c r="A19" s="17" t="s">
        <v>21</v>
      </c>
      <c r="B19" s="24">
        <v>0.2</v>
      </c>
      <c r="C19"/>
      <c r="D19"/>
      <c r="E19"/>
      <c r="F19" s="5"/>
      <c r="G19" s="5"/>
      <c r="H19" s="5"/>
      <c r="I19" s="5"/>
    </row>
    <row r="20" spans="1:9" ht="15" customHeight="1">
      <c r="A20" s="17" t="s">
        <v>22</v>
      </c>
      <c r="B20" s="35">
        <v>0.25</v>
      </c>
      <c r="C20"/>
      <c r="D20"/>
      <c r="E20"/>
      <c r="F20" s="5"/>
      <c r="G20" s="5"/>
      <c r="H20" s="5"/>
      <c r="I20" s="5"/>
    </row>
    <row r="21" spans="1:9" ht="37.5" customHeight="1">
      <c r="A21" s="17" t="s">
        <v>23</v>
      </c>
      <c r="B21" s="728" t="s">
        <v>601</v>
      </c>
      <c r="C21" s="729"/>
      <c r="D21" s="730"/>
      <c r="E21" s="12"/>
      <c r="F21" s="5"/>
      <c r="G21" s="5"/>
      <c r="H21" s="14"/>
      <c r="I21" s="5"/>
    </row>
    <row r="22" spans="1:9" ht="14.25">
      <c r="A22" s="34" t="s">
        <v>5</v>
      </c>
      <c r="B22" s="7" t="s">
        <v>498</v>
      </c>
      <c r="C22" s="4"/>
      <c r="D22" s="4"/>
      <c r="E22" s="4"/>
      <c r="F22" s="5"/>
      <c r="G22" s="5"/>
      <c r="H22" s="5"/>
      <c r="I22" s="5"/>
    </row>
    <row r="23" spans="1:9" ht="14.25">
      <c r="A23" s="17" t="s">
        <v>24</v>
      </c>
      <c r="B23" s="7" t="s">
        <v>163</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1"/>
  <dimension ref="A1:AO529"/>
  <sheetViews>
    <sheetView workbookViewId="0" topLeftCell="B13">
      <selection activeCell="K41" sqref="K41"/>
    </sheetView>
  </sheetViews>
  <sheetFormatPr defaultColWidth="9.140625" defaultRowHeight="12.75"/>
  <cols>
    <col min="1" max="1" width="128.00390625" style="37" customWidth="1"/>
    <col min="2" max="2" width="51.421875" style="37" customWidth="1"/>
    <col min="3" max="3" width="8.8515625" style="37" customWidth="1"/>
    <col min="4" max="4" width="8.57421875" style="37" customWidth="1"/>
    <col min="5" max="5" width="8.421875" style="37" customWidth="1"/>
    <col min="6" max="6" width="9.00390625" style="37" customWidth="1"/>
    <col min="7" max="7" width="10.28125" style="37" customWidth="1"/>
    <col min="8" max="8" width="12.281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8515625" style="37" customWidth="1"/>
  </cols>
  <sheetData>
    <row r="1" ht="14.25">
      <c r="A1" s="36" t="s">
        <v>132</v>
      </c>
    </row>
    <row r="2" ht="12.75">
      <c r="A2" s="37" t="s">
        <v>168</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671" t="str">
        <f>B6</f>
        <v>Single Family Weatherization - Zone 1</v>
      </c>
      <c r="B6" s="672" t="s">
        <v>553</v>
      </c>
      <c r="C6" s="562">
        <f>IF('Cost-Effectiveness Level'!$AI$16=1,'Cost-Effectiveness Level'!U21,'Cost-Effectiveness Level'!U35)</f>
        <v>2720.5716576608024</v>
      </c>
      <c r="D6" s="673">
        <v>45</v>
      </c>
      <c r="E6" s="674">
        <f>IF('Cost-Effectiveness Level'!AI$16=1,'Cost-Effectiveness Level'!V21,'Cost-Effectiveness Level'!V35)</f>
        <v>1230.0254590235586</v>
      </c>
      <c r="F6" s="675">
        <v>0</v>
      </c>
      <c r="G6" s="256" t="s">
        <v>169</v>
      </c>
      <c r="H6"/>
      <c r="I6"/>
      <c r="J6"/>
      <c r="K6"/>
      <c r="L6"/>
      <c r="M6"/>
      <c r="N6"/>
      <c r="O6"/>
      <c r="P6"/>
      <c r="Q6"/>
      <c r="R6"/>
      <c r="S6"/>
      <c r="T6"/>
      <c r="U6"/>
      <c r="V6"/>
      <c r="W6"/>
    </row>
    <row r="7" spans="1:23" ht="12.75">
      <c r="A7" s="671" t="str">
        <f>B7</f>
        <v>Single Family Weatherization - Zone 2</v>
      </c>
      <c r="B7" s="672" t="s">
        <v>554</v>
      </c>
      <c r="C7" s="562">
        <f>IF('Cost-Effectiveness Level'!$AI$16=1,'Cost-Effectiveness Level'!U22,'Cost-Effectiveness Level'!U36)</f>
        <v>3472.853507631033</v>
      </c>
      <c r="D7" s="673">
        <v>45</v>
      </c>
      <c r="E7" s="674">
        <f>IF('Cost-Effectiveness Level'!AI$16=1,'Cost-Effectiveness Level'!V22,'Cost-Effectiveness Level'!V36)</f>
        <v>1230.0254590235586</v>
      </c>
      <c r="F7" s="675">
        <v>0</v>
      </c>
      <c r="G7" s="256" t="s">
        <v>169</v>
      </c>
      <c r="H7"/>
      <c r="I7"/>
      <c r="J7"/>
      <c r="K7"/>
      <c r="L7"/>
      <c r="M7"/>
      <c r="N7"/>
      <c r="O7"/>
      <c r="P7"/>
      <c r="Q7"/>
      <c r="R7"/>
      <c r="S7"/>
      <c r="T7"/>
      <c r="U7"/>
      <c r="V7"/>
      <c r="W7"/>
    </row>
    <row r="8" spans="1:23" ht="12.75">
      <c r="A8" s="671" t="str">
        <f>B8</f>
        <v>Single Family Weatherization - Zone 3</v>
      </c>
      <c r="B8" s="672" t="s">
        <v>555</v>
      </c>
      <c r="C8" s="562">
        <f>IF('Cost-Effectiveness Level'!$AI$16=1,'Cost-Effectiveness Level'!U23,'Cost-Effectiveness Level'!U37)</f>
        <v>3922.0424703627264</v>
      </c>
      <c r="D8" s="673">
        <v>45</v>
      </c>
      <c r="E8" s="674">
        <f>IF('Cost-Effectiveness Level'!AI$16=1,'Cost-Effectiveness Level'!V23,'Cost-Effectiveness Level'!V37)</f>
        <v>1230.0254590235586</v>
      </c>
      <c r="F8" s="675">
        <v>0</v>
      </c>
      <c r="G8" s="256" t="s">
        <v>169</v>
      </c>
      <c r="H8"/>
      <c r="I8"/>
      <c r="J8"/>
      <c r="K8"/>
      <c r="L8"/>
      <c r="M8"/>
      <c r="N8"/>
      <c r="O8"/>
      <c r="P8"/>
      <c r="Q8"/>
      <c r="R8"/>
      <c r="S8"/>
      <c r="T8"/>
      <c r="U8"/>
      <c r="V8"/>
      <c r="W8"/>
    </row>
    <row r="9" spans="1:23" ht="12.75">
      <c r="A9" s="671" t="str">
        <f>B9</f>
        <v>Single Family Weatherization - PNW Average Climate</v>
      </c>
      <c r="B9" s="672" t="s">
        <v>556</v>
      </c>
      <c r="C9" s="562">
        <f>IF('Cost-Effectiveness Level'!$AI$16=1,'Cost-Effectiveness Level'!U24,'Cost-Effectiveness Level'!U38)</f>
        <v>2935.176224632179</v>
      </c>
      <c r="D9" s="673">
        <v>45</v>
      </c>
      <c r="E9" s="674">
        <f>IF('Cost-Effectiveness Level'!AI$16=1,'Cost-Effectiveness Level'!V24,'Cost-Effectiveness Level'!V38)</f>
        <v>1230.0254590235586</v>
      </c>
      <c r="F9" s="675">
        <v>0</v>
      </c>
      <c r="G9" s="256" t="s">
        <v>169</v>
      </c>
      <c r="H9"/>
      <c r="I9"/>
      <c r="J9"/>
      <c r="K9"/>
      <c r="L9"/>
      <c r="M9"/>
      <c r="N9"/>
      <c r="O9"/>
      <c r="P9"/>
      <c r="Q9"/>
      <c r="R9"/>
      <c r="S9"/>
      <c r="T9"/>
      <c r="U9"/>
      <c r="V9"/>
      <c r="W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599</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136</v>
      </c>
      <c r="B13" s="53"/>
      <c r="C13" s="54" t="s">
        <v>83</v>
      </c>
      <c r="D13" s="56"/>
      <c r="E13" s="56"/>
      <c r="F13" s="56"/>
      <c r="G13" s="56"/>
      <c r="H13" s="56"/>
      <c r="I13" s="56"/>
      <c r="J13" s="55"/>
      <c r="K13" s="54" t="s">
        <v>50</v>
      </c>
      <c r="L13" s="56"/>
      <c r="M13" s="55"/>
      <c r="N13" s="54" t="s">
        <v>51</v>
      </c>
      <c r="O13" s="56"/>
      <c r="P13" s="56"/>
      <c r="Q13" s="55"/>
      <c r="R13" s="54" t="s">
        <v>52</v>
      </c>
      <c r="S13" s="55"/>
      <c r="T13" s="54" t="s">
        <v>53</v>
      </c>
      <c r="U13" s="56"/>
      <c r="V13" s="56"/>
      <c r="W13" s="56"/>
      <c r="X13" s="55"/>
      <c r="Y13" s="54" t="s">
        <v>54</v>
      </c>
      <c r="Z13" s="56"/>
      <c r="AA13" s="56"/>
      <c r="AB13" s="56"/>
      <c r="AC13" s="55"/>
      <c r="AD13" s="54" t="s">
        <v>84</v>
      </c>
      <c r="AE13" s="56"/>
      <c r="AF13" s="56"/>
      <c r="AG13" s="56"/>
      <c r="AH13" s="56"/>
      <c r="AI13" s="55"/>
      <c r="AJ13" s="54" t="s">
        <v>85</v>
      </c>
      <c r="AK13" s="56"/>
      <c r="AL13" s="56"/>
      <c r="AM13" s="56"/>
      <c r="AN13" s="56"/>
      <c r="AO13" s="55"/>
    </row>
    <row r="14" spans="1:41" ht="51">
      <c r="A14" s="57" t="s">
        <v>56</v>
      </c>
      <c r="B14" s="58" t="s">
        <v>57</v>
      </c>
      <c r="C14" s="59" t="s">
        <v>86</v>
      </c>
      <c r="D14" s="59" t="s">
        <v>87</v>
      </c>
      <c r="E14" s="59" t="s">
        <v>88</v>
      </c>
      <c r="F14" s="59" t="s">
        <v>89</v>
      </c>
      <c r="G14" s="59" t="s">
        <v>155</v>
      </c>
      <c r="H14" s="59" t="s">
        <v>91</v>
      </c>
      <c r="I14" s="59" t="s">
        <v>92</v>
      </c>
      <c r="J14" s="59" t="s">
        <v>93</v>
      </c>
      <c r="K14" s="59" t="s">
        <v>94</v>
      </c>
      <c r="L14" s="59" t="s">
        <v>95</v>
      </c>
      <c r="M14" s="59" t="s">
        <v>96</v>
      </c>
      <c r="N14" s="59" t="s">
        <v>25</v>
      </c>
      <c r="O14" s="59" t="s">
        <v>26</v>
      </c>
      <c r="P14" s="59" t="s">
        <v>27</v>
      </c>
      <c r="Q14" s="59" t="s">
        <v>9</v>
      </c>
      <c r="R14" s="59" t="s">
        <v>58</v>
      </c>
      <c r="S14" s="59" t="s">
        <v>9</v>
      </c>
      <c r="T14" s="59" t="s">
        <v>25</v>
      </c>
      <c r="U14" s="59" t="s">
        <v>26</v>
      </c>
      <c r="V14" s="59" t="s">
        <v>27</v>
      </c>
      <c r="W14" s="59" t="s">
        <v>9</v>
      </c>
      <c r="X14" s="59" t="s">
        <v>62</v>
      </c>
      <c r="Y14" s="59" t="s">
        <v>25</v>
      </c>
      <c r="Z14" s="59" t="s">
        <v>26</v>
      </c>
      <c r="AA14" s="59" t="s">
        <v>27</v>
      </c>
      <c r="AB14" s="59" t="s">
        <v>9</v>
      </c>
      <c r="AC14" s="59" t="s">
        <v>62</v>
      </c>
      <c r="AD14" s="59" t="s">
        <v>97</v>
      </c>
      <c r="AE14" s="59" t="s">
        <v>98</v>
      </c>
      <c r="AF14" s="59" t="s">
        <v>61</v>
      </c>
      <c r="AG14" s="59" t="s">
        <v>99</v>
      </c>
      <c r="AH14" s="59" t="s">
        <v>100</v>
      </c>
      <c r="AI14" s="59" t="s">
        <v>101</v>
      </c>
      <c r="AJ14" s="59" t="s">
        <v>102</v>
      </c>
      <c r="AK14" s="59" t="s">
        <v>59</v>
      </c>
      <c r="AL14" s="59" t="s">
        <v>60</v>
      </c>
      <c r="AM14" s="59" t="s">
        <v>103</v>
      </c>
      <c r="AN14" s="59" t="s">
        <v>104</v>
      </c>
      <c r="AO14" s="59" t="s">
        <v>105</v>
      </c>
    </row>
    <row r="15" spans="1:41" ht="12.75" customHeight="1">
      <c r="A15" t="s">
        <v>553</v>
      </c>
      <c r="B15" t="s">
        <v>553</v>
      </c>
      <c r="C15" s="49">
        <v>45</v>
      </c>
      <c r="D15" s="49">
        <v>2720.5716576608024</v>
      </c>
      <c r="E15" s="49">
        <v>1230.03</v>
      </c>
      <c r="F15" s="49">
        <v>0</v>
      </c>
      <c r="G15" s="49">
        <v>0</v>
      </c>
      <c r="H15" s="49" t="s">
        <v>169</v>
      </c>
      <c r="I15" s="49">
        <v>0.21</v>
      </c>
      <c r="J15" s="49">
        <v>0.4009999930858612</v>
      </c>
      <c r="K15" s="49">
        <v>2928.0152465574383</v>
      </c>
      <c r="L15" s="60">
        <v>0.6382551063409594</v>
      </c>
      <c r="M15" s="49">
        <v>1.5916586467479008</v>
      </c>
      <c r="N15" s="49"/>
      <c r="O15" s="49"/>
      <c r="P15" s="49">
        <v>1230.0257624650608</v>
      </c>
      <c r="Q15" s="49">
        <v>0</v>
      </c>
      <c r="R15" s="49">
        <v>0</v>
      </c>
      <c r="S15" s="49">
        <v>0</v>
      </c>
      <c r="T15" s="49">
        <v>0</v>
      </c>
      <c r="U15" s="49">
        <v>0</v>
      </c>
      <c r="V15" s="49">
        <v>1230.0257624650608</v>
      </c>
      <c r="W15" s="49">
        <v>0</v>
      </c>
      <c r="X15" s="49">
        <v>1230.0257624650608</v>
      </c>
      <c r="Y15" s="49">
        <v>0</v>
      </c>
      <c r="Z15" s="49">
        <v>0</v>
      </c>
      <c r="AA15" s="49">
        <v>22.776155471801758</v>
      </c>
      <c r="AB15" s="49">
        <v>0</v>
      </c>
      <c r="AC15" s="49">
        <v>22.77615518355463</v>
      </c>
      <c r="AD15" s="49">
        <v>1232.488843176742</v>
      </c>
      <c r="AE15" s="49">
        <v>35.31636653170739</v>
      </c>
      <c r="AF15" s="49">
        <v>182.6717529296875</v>
      </c>
      <c r="AG15" s="49">
        <v>1448.8755040294957</v>
      </c>
      <c r="AH15" s="49">
        <v>1230.0257624650608</v>
      </c>
      <c r="AI15" s="48">
        <v>1.1779228925464489</v>
      </c>
      <c r="AJ15" s="49">
        <v>587.1381225585938</v>
      </c>
      <c r="AK15" s="49">
        <v>0</v>
      </c>
      <c r="AL15" s="49">
        <v>0</v>
      </c>
      <c r="AM15" s="49">
        <v>2036.013671875</v>
      </c>
      <c r="AN15" s="49">
        <v>1230.0257624650608</v>
      </c>
      <c r="AO15" s="48">
        <v>1.6552610397338867</v>
      </c>
    </row>
    <row r="16" spans="1:41" ht="12.75" customHeight="1">
      <c r="A16" t="s">
        <v>554</v>
      </c>
      <c r="B16" t="s">
        <v>554</v>
      </c>
      <c r="C16" s="49">
        <v>45</v>
      </c>
      <c r="D16" s="49">
        <v>3472.853507631033</v>
      </c>
      <c r="E16" s="49">
        <v>1230.03</v>
      </c>
      <c r="F16" s="49">
        <v>0</v>
      </c>
      <c r="G16" s="49">
        <v>0</v>
      </c>
      <c r="H16" s="49" t="s">
        <v>169</v>
      </c>
      <c r="I16" s="49">
        <v>0.21</v>
      </c>
      <c r="J16" s="49">
        <v>0.4009999930858612</v>
      </c>
      <c r="K16" s="49">
        <v>3737.658587587899</v>
      </c>
      <c r="L16" s="60">
        <v>0.8147429157317121</v>
      </c>
      <c r="M16" s="49">
        <v>2.031777879749891</v>
      </c>
      <c r="N16" s="49"/>
      <c r="O16" s="49"/>
      <c r="P16" s="49">
        <v>1230.0257624650608</v>
      </c>
      <c r="Q16" s="49">
        <v>0</v>
      </c>
      <c r="R16" s="49">
        <v>0</v>
      </c>
      <c r="S16" s="49">
        <v>0</v>
      </c>
      <c r="T16" s="49">
        <v>0</v>
      </c>
      <c r="U16" s="49">
        <v>0</v>
      </c>
      <c r="V16" s="49">
        <v>1230.0257624650608</v>
      </c>
      <c r="W16" s="49">
        <v>0</v>
      </c>
      <c r="X16" s="49">
        <v>1230.0257624650608</v>
      </c>
      <c r="Y16" s="49">
        <v>0</v>
      </c>
      <c r="Z16" s="49">
        <v>0</v>
      </c>
      <c r="AA16" s="49">
        <v>17.84243392944336</v>
      </c>
      <c r="AB16" s="49">
        <v>0</v>
      </c>
      <c r="AC16" s="49">
        <v>17.842434795106296</v>
      </c>
      <c r="AD16" s="49">
        <v>1573.2918447818786</v>
      </c>
      <c r="AE16" s="49">
        <v>45.08191028200256</v>
      </c>
      <c r="AF16" s="49">
        <v>233.18344116210938</v>
      </c>
      <c r="AG16" s="49">
        <v>1849.5129085371568</v>
      </c>
      <c r="AH16" s="49">
        <v>1230.0257624650608</v>
      </c>
      <c r="AI16" s="48">
        <v>1.5036375375021405</v>
      </c>
      <c r="AJ16" s="49">
        <v>749.491455078125</v>
      </c>
      <c r="AK16" s="49">
        <v>0</v>
      </c>
      <c r="AL16" s="49">
        <v>0</v>
      </c>
      <c r="AM16" s="49">
        <v>2599.00439453125</v>
      </c>
      <c r="AN16" s="49">
        <v>1230.0257624650608</v>
      </c>
      <c r="AO16" s="48">
        <v>2.1129674911499023</v>
      </c>
    </row>
    <row r="17" spans="1:41" ht="12.75" customHeight="1">
      <c r="A17" t="s">
        <v>555</v>
      </c>
      <c r="B17" t="s">
        <v>555</v>
      </c>
      <c r="C17" s="49">
        <v>45</v>
      </c>
      <c r="D17" s="49">
        <v>3922.0424703627264</v>
      </c>
      <c r="E17" s="49">
        <v>1230.03</v>
      </c>
      <c r="F17" s="49">
        <v>0</v>
      </c>
      <c r="G17" s="49">
        <v>0</v>
      </c>
      <c r="H17" s="49" t="s">
        <v>169</v>
      </c>
      <c r="I17" s="49">
        <v>0.21</v>
      </c>
      <c r="J17" s="49">
        <v>0.4009999930858612</v>
      </c>
      <c r="K17" s="49">
        <v>4221.098208727884</v>
      </c>
      <c r="L17" s="60">
        <v>0.9201241316126455</v>
      </c>
      <c r="M17" s="49">
        <v>2.2945739338594717</v>
      </c>
      <c r="N17" s="49"/>
      <c r="O17" s="49"/>
      <c r="P17" s="49">
        <v>1230.0257624650608</v>
      </c>
      <c r="Q17" s="49">
        <v>0</v>
      </c>
      <c r="R17" s="49">
        <v>0</v>
      </c>
      <c r="S17" s="49">
        <v>0</v>
      </c>
      <c r="T17" s="49">
        <v>0</v>
      </c>
      <c r="U17" s="49">
        <v>0</v>
      </c>
      <c r="V17" s="49">
        <v>1230.0257624650608</v>
      </c>
      <c r="W17" s="49">
        <v>0</v>
      </c>
      <c r="X17" s="49">
        <v>1230.0257624650608</v>
      </c>
      <c r="Y17" s="49">
        <v>0</v>
      </c>
      <c r="Z17" s="49">
        <v>0</v>
      </c>
      <c r="AA17" s="49">
        <v>15.798952102661133</v>
      </c>
      <c r="AB17" s="49">
        <v>0</v>
      </c>
      <c r="AC17" s="49">
        <v>15.798952390521205</v>
      </c>
      <c r="AD17" s="49">
        <v>1776.7859830399243</v>
      </c>
      <c r="AE17" s="49">
        <v>50.91293553919789</v>
      </c>
      <c r="AF17" s="49">
        <v>263.34405517578125</v>
      </c>
      <c r="AG17" s="49">
        <v>2088.734271956907</v>
      </c>
      <c r="AH17" s="49">
        <v>1230.0257624650608</v>
      </c>
      <c r="AI17" s="48">
        <v>1.6981223773483671</v>
      </c>
      <c r="AJ17" s="49">
        <v>846.432861328125</v>
      </c>
      <c r="AK17" s="49">
        <v>0</v>
      </c>
      <c r="AL17" s="49">
        <v>0</v>
      </c>
      <c r="AM17" s="49">
        <v>2935.167236328125</v>
      </c>
      <c r="AN17" s="49">
        <v>1230.0257624650608</v>
      </c>
      <c r="AO17" s="48">
        <v>2.3862648010253906</v>
      </c>
    </row>
    <row r="18" spans="1:41" ht="12.75" customHeight="1">
      <c r="A18" t="s">
        <v>556</v>
      </c>
      <c r="B18" t="s">
        <v>556</v>
      </c>
      <c r="C18" s="49">
        <v>45</v>
      </c>
      <c r="D18" s="49">
        <v>2935.176224632179</v>
      </c>
      <c r="E18" s="49">
        <v>1230.03</v>
      </c>
      <c r="F18" s="49">
        <v>0</v>
      </c>
      <c r="G18" s="49">
        <v>0</v>
      </c>
      <c r="H18" s="49" t="s">
        <v>169</v>
      </c>
      <c r="I18" s="49">
        <v>0.21</v>
      </c>
      <c r="J18" s="49">
        <v>0.4009999930858612</v>
      </c>
      <c r="K18" s="49">
        <v>3158.9834117603823</v>
      </c>
      <c r="L18" s="60">
        <v>0.6886020473332592</v>
      </c>
      <c r="M18" s="49">
        <v>1.7172121177214517</v>
      </c>
      <c r="N18" s="49"/>
      <c r="O18" s="49"/>
      <c r="P18" s="49">
        <v>1230.0257624650608</v>
      </c>
      <c r="Q18" s="49">
        <v>0</v>
      </c>
      <c r="R18" s="49">
        <v>0</v>
      </c>
      <c r="S18" s="49">
        <v>0</v>
      </c>
      <c r="T18" s="49">
        <v>0</v>
      </c>
      <c r="U18" s="49">
        <v>0</v>
      </c>
      <c r="V18" s="49">
        <v>1230.0257624650608</v>
      </c>
      <c r="W18" s="49">
        <v>0</v>
      </c>
      <c r="X18" s="49">
        <v>1230.0257624650608</v>
      </c>
      <c r="Y18" s="49">
        <v>0</v>
      </c>
      <c r="Z18" s="49">
        <v>0</v>
      </c>
      <c r="AA18" s="49">
        <v>21.110883712768555</v>
      </c>
      <c r="AB18" s="49">
        <v>0</v>
      </c>
      <c r="AC18" s="49">
        <v>21.110883136370433</v>
      </c>
      <c r="AD18" s="49">
        <v>1329.710224478053</v>
      </c>
      <c r="AE18" s="49">
        <v>38.10219778345838</v>
      </c>
      <c r="AF18" s="49">
        <v>197.081298828125</v>
      </c>
      <c r="AG18" s="49">
        <v>1563.165935967866</v>
      </c>
      <c r="AH18" s="49">
        <v>1230.0257624650608</v>
      </c>
      <c r="AI18" s="48">
        <v>1.2708399967454083</v>
      </c>
      <c r="AJ18" s="49">
        <v>633.4529418945312</v>
      </c>
      <c r="AK18" s="49">
        <v>0</v>
      </c>
      <c r="AL18" s="49">
        <v>0</v>
      </c>
      <c r="AM18" s="49">
        <v>2196.618896484375</v>
      </c>
      <c r="AN18" s="49">
        <v>1230.0257624650608</v>
      </c>
      <c r="AO18" s="48">
        <v>1.7858315706253052</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137</v>
      </c>
      <c r="B21" s="71"/>
      <c r="C21" s="72" t="s">
        <v>106</v>
      </c>
      <c r="D21" s="63"/>
      <c r="E21" s="63"/>
      <c r="F21" s="63"/>
      <c r="G21" s="63"/>
      <c r="H21" s="63"/>
      <c r="I21" s="63"/>
      <c r="J21" s="64"/>
      <c r="K21" s="72" t="s">
        <v>50</v>
      </c>
      <c r="L21" s="63"/>
      <c r="M21" s="64"/>
      <c r="N21" s="72" t="s">
        <v>107</v>
      </c>
      <c r="O21" s="63"/>
      <c r="P21" s="63"/>
      <c r="Q21" s="63"/>
      <c r="R21" s="73" t="s">
        <v>108</v>
      </c>
      <c r="S21" s="72" t="s">
        <v>84</v>
      </c>
      <c r="T21" s="63"/>
      <c r="U21" s="63"/>
      <c r="V21" s="63"/>
      <c r="W21" s="63"/>
      <c r="X21" s="64"/>
      <c r="Y21" s="72" t="s">
        <v>85</v>
      </c>
      <c r="Z21" s="63"/>
      <c r="AA21" s="63"/>
      <c r="AB21" s="63"/>
      <c r="AC21" s="63"/>
      <c r="AD21" s="64"/>
      <c r="AE21" s="49"/>
      <c r="AF21" s="49"/>
      <c r="AG21" s="49"/>
      <c r="AH21" s="49"/>
      <c r="AI21" s="49"/>
      <c r="AJ21" s="49"/>
      <c r="AK21" s="49"/>
      <c r="AL21" s="49"/>
      <c r="AM21" s="49"/>
      <c r="AN21" s="49"/>
      <c r="AO21" s="49"/>
    </row>
    <row r="22" spans="1:41" ht="51">
      <c r="A22" s="57"/>
      <c r="B22" s="58" t="s">
        <v>56</v>
      </c>
      <c r="C22" s="59" t="s">
        <v>109</v>
      </c>
      <c r="D22" s="59" t="s">
        <v>87</v>
      </c>
      <c r="E22" s="59" t="s">
        <v>88</v>
      </c>
      <c r="F22" s="59" t="s">
        <v>89</v>
      </c>
      <c r="G22" s="59" t="s">
        <v>90</v>
      </c>
      <c r="H22" s="59" t="s">
        <v>91</v>
      </c>
      <c r="I22" s="59" t="s">
        <v>110</v>
      </c>
      <c r="J22" s="59" t="s">
        <v>111</v>
      </c>
      <c r="K22" s="59" t="s">
        <v>94</v>
      </c>
      <c r="L22" s="59" t="s">
        <v>95</v>
      </c>
      <c r="M22" s="59" t="s">
        <v>96</v>
      </c>
      <c r="N22" s="59" t="s">
        <v>51</v>
      </c>
      <c r="O22" s="59" t="s">
        <v>112</v>
      </c>
      <c r="P22" s="59" t="s">
        <v>113</v>
      </c>
      <c r="Q22" s="59" t="s">
        <v>114</v>
      </c>
      <c r="R22" s="59" t="s">
        <v>115</v>
      </c>
      <c r="S22" s="59" t="s">
        <v>97</v>
      </c>
      <c r="T22" s="59" t="s">
        <v>98</v>
      </c>
      <c r="U22" s="59" t="s">
        <v>61</v>
      </c>
      <c r="V22" s="59" t="s">
        <v>99</v>
      </c>
      <c r="W22" s="59" t="s">
        <v>100</v>
      </c>
      <c r="X22" s="59" t="s">
        <v>101</v>
      </c>
      <c r="Y22" s="59" t="s">
        <v>102</v>
      </c>
      <c r="Z22" s="59" t="s">
        <v>59</v>
      </c>
      <c r="AA22" s="59" t="s">
        <v>60</v>
      </c>
      <c r="AB22" s="59" t="s">
        <v>103</v>
      </c>
      <c r="AC22" s="59" t="s">
        <v>104</v>
      </c>
      <c r="AD22" s="59" t="s">
        <v>105</v>
      </c>
      <c r="AE22" s="49"/>
      <c r="AF22" s="49"/>
      <c r="AG22" s="49"/>
      <c r="AH22" s="49"/>
      <c r="AI22" s="49"/>
      <c r="AJ22" s="49"/>
      <c r="AK22" s="49"/>
      <c r="AL22" s="49"/>
      <c r="AM22" s="49"/>
      <c r="AN22" s="49"/>
      <c r="AO22" s="49"/>
    </row>
    <row r="23" spans="1:41" ht="12.75" customHeight="1">
      <c r="A23"/>
      <c r="B23" t="s">
        <v>555</v>
      </c>
      <c r="C23" s="49">
        <v>45</v>
      </c>
      <c r="D23" s="49">
        <v>3922.0424703627264</v>
      </c>
      <c r="E23" s="49">
        <v>1230.03</v>
      </c>
      <c r="F23" s="49">
        <v>0</v>
      </c>
      <c r="G23" s="49">
        <v>0</v>
      </c>
      <c r="H23" s="49"/>
      <c r="I23" s="49">
        <v>0.21</v>
      </c>
      <c r="J23" s="49">
        <v>0.4009999930858612</v>
      </c>
      <c r="K23" s="49">
        <v>4221.098208727884</v>
      </c>
      <c r="L23" s="49">
        <v>0.9201241316126455</v>
      </c>
      <c r="M23" s="49">
        <v>2.294574022293091</v>
      </c>
      <c r="N23" s="49">
        <v>1230.0257624650608</v>
      </c>
      <c r="O23" s="49">
        <v>0</v>
      </c>
      <c r="P23" s="49">
        <v>0</v>
      </c>
      <c r="Q23" s="49">
        <v>1230.0257568359375</v>
      </c>
      <c r="R23" s="49">
        <v>15.798952230414882</v>
      </c>
      <c r="S23" s="49">
        <v>1776.7859830399243</v>
      </c>
      <c r="T23" s="49">
        <v>50.91293716430664</v>
      </c>
      <c r="U23" s="49">
        <v>263.34405517578125</v>
      </c>
      <c r="V23" s="49">
        <v>2088.734271956907</v>
      </c>
      <c r="W23" s="49">
        <v>1230.0257624650608</v>
      </c>
      <c r="X23" s="48">
        <v>1.6981223773483671</v>
      </c>
      <c r="Y23" s="60">
        <v>846.432861328125</v>
      </c>
      <c r="Z23" s="60">
        <v>0</v>
      </c>
      <c r="AA23" s="60">
        <v>0</v>
      </c>
      <c r="AB23" s="60">
        <v>2935.167236328125</v>
      </c>
      <c r="AC23" s="60">
        <v>1230.0257568359375</v>
      </c>
      <c r="AD23" s="48">
        <v>2.3862648010253906</v>
      </c>
      <c r="AE23" s="60"/>
      <c r="AF23" s="60"/>
      <c r="AG23" s="60"/>
      <c r="AH23" s="60"/>
      <c r="AI23" s="60"/>
      <c r="AJ23" s="60"/>
      <c r="AK23" s="60"/>
      <c r="AL23" s="49"/>
      <c r="AM23" s="49"/>
      <c r="AN23" s="49"/>
      <c r="AO23" s="49"/>
    </row>
    <row r="24" spans="1:41" ht="12.75" customHeight="1">
      <c r="A24"/>
      <c r="B24" t="s">
        <v>554</v>
      </c>
      <c r="C24" s="49">
        <v>45</v>
      </c>
      <c r="D24" s="49">
        <v>3472.853507631033</v>
      </c>
      <c r="E24" s="49">
        <v>1230.03</v>
      </c>
      <c r="F24" s="49">
        <v>0</v>
      </c>
      <c r="G24" s="49">
        <v>0</v>
      </c>
      <c r="H24" s="49"/>
      <c r="I24" s="49">
        <v>0.21</v>
      </c>
      <c r="J24" s="49">
        <v>0.4009999930858612</v>
      </c>
      <c r="K24" s="49">
        <v>3737.658587587899</v>
      </c>
      <c r="L24" s="49">
        <v>0.8147429157317121</v>
      </c>
      <c r="M24" s="49">
        <v>2.031777858734131</v>
      </c>
      <c r="N24" s="49">
        <v>1230.0257624650608</v>
      </c>
      <c r="O24" s="49">
        <v>0</v>
      </c>
      <c r="P24" s="49">
        <v>0</v>
      </c>
      <c r="Q24" s="49">
        <v>1230.0257568359375</v>
      </c>
      <c r="R24" s="49">
        <v>17.842434614291356</v>
      </c>
      <c r="S24" s="49">
        <v>1573.2918447818786</v>
      </c>
      <c r="T24" s="49">
        <v>45.0819091796875</v>
      </c>
      <c r="U24" s="49">
        <v>233.18344116210938</v>
      </c>
      <c r="V24" s="49">
        <v>1849.5129085371568</v>
      </c>
      <c r="W24" s="49">
        <v>1230.0257624650608</v>
      </c>
      <c r="X24" s="48">
        <v>1.5036375375021405</v>
      </c>
      <c r="Y24" s="60">
        <v>749.491455078125</v>
      </c>
      <c r="Z24" s="60">
        <v>0</v>
      </c>
      <c r="AA24" s="60">
        <v>0</v>
      </c>
      <c r="AB24" s="60">
        <v>2599.00439453125</v>
      </c>
      <c r="AC24" s="60">
        <v>1230.0257568359375</v>
      </c>
      <c r="AD24" s="48">
        <v>2.1129674911499023</v>
      </c>
      <c r="AE24" s="60"/>
      <c r="AF24" s="60"/>
      <c r="AG24" s="60"/>
      <c r="AH24" s="60"/>
      <c r="AI24" s="60"/>
      <c r="AJ24" s="60"/>
      <c r="AK24" s="60"/>
      <c r="AL24" s="49"/>
      <c r="AM24" s="49"/>
      <c r="AN24" s="49"/>
      <c r="AO24" s="49"/>
    </row>
    <row r="25" spans="1:41" ht="12.75" customHeight="1">
      <c r="A25"/>
      <c r="B25" t="s">
        <v>556</v>
      </c>
      <c r="C25" s="49">
        <v>45</v>
      </c>
      <c r="D25" s="49">
        <v>2935.176224632179</v>
      </c>
      <c r="E25" s="49">
        <v>1230.03</v>
      </c>
      <c r="F25" s="49">
        <v>0</v>
      </c>
      <c r="G25" s="49">
        <v>0</v>
      </c>
      <c r="H25" s="49"/>
      <c r="I25" s="49">
        <v>0.21</v>
      </c>
      <c r="J25" s="49">
        <v>0.4009999930858612</v>
      </c>
      <c r="K25" s="49">
        <v>3158.9834117603823</v>
      </c>
      <c r="L25" s="49">
        <v>0.6886020473332592</v>
      </c>
      <c r="M25" s="49">
        <v>1.7172120809555054</v>
      </c>
      <c r="N25" s="49">
        <v>1230.0257624650608</v>
      </c>
      <c r="O25" s="49">
        <v>0</v>
      </c>
      <c r="P25" s="49">
        <v>0</v>
      </c>
      <c r="Q25" s="49">
        <v>1230.0257568359375</v>
      </c>
      <c r="R25" s="49">
        <v>21.110882922433092</v>
      </c>
      <c r="S25" s="49">
        <v>1329.710224478053</v>
      </c>
      <c r="T25" s="49">
        <v>38.10219955444336</v>
      </c>
      <c r="U25" s="49">
        <v>197.081298828125</v>
      </c>
      <c r="V25" s="49">
        <v>1563.165935967866</v>
      </c>
      <c r="W25" s="49">
        <v>1230.0257624650608</v>
      </c>
      <c r="X25" s="48">
        <v>1.2708399967454083</v>
      </c>
      <c r="Y25" s="60">
        <v>633.4529418945312</v>
      </c>
      <c r="Z25" s="60">
        <v>0</v>
      </c>
      <c r="AA25" s="60">
        <v>0</v>
      </c>
      <c r="AB25" s="60">
        <v>2196.618896484375</v>
      </c>
      <c r="AC25" s="60">
        <v>1230.0257568359375</v>
      </c>
      <c r="AD25" s="48">
        <v>1.7858315706253052</v>
      </c>
      <c r="AE25" s="60"/>
      <c r="AF25" s="60"/>
      <c r="AG25" s="60"/>
      <c r="AH25" s="60"/>
      <c r="AI25" s="60"/>
      <c r="AJ25" s="60"/>
      <c r="AK25" s="60"/>
      <c r="AL25" s="49"/>
      <c r="AM25" s="49"/>
      <c r="AN25" s="49"/>
      <c r="AO25" s="49"/>
    </row>
    <row r="26" spans="1:41" ht="12.75" customHeight="1">
      <c r="A26"/>
      <c r="B26" t="s">
        <v>553</v>
      </c>
      <c r="C26" s="49">
        <v>45</v>
      </c>
      <c r="D26" s="49">
        <v>2720.5716576608024</v>
      </c>
      <c r="E26" s="49">
        <v>1230.03</v>
      </c>
      <c r="F26" s="49">
        <v>0</v>
      </c>
      <c r="G26" s="49">
        <v>0</v>
      </c>
      <c r="H26" s="49"/>
      <c r="I26" s="49">
        <v>0.21</v>
      </c>
      <c r="J26" s="49">
        <v>0.4009999930858612</v>
      </c>
      <c r="K26" s="49">
        <v>2928.0152465574383</v>
      </c>
      <c r="L26" s="49">
        <v>0.6382551063409594</v>
      </c>
      <c r="M26" s="49">
        <v>1.591658592224121</v>
      </c>
      <c r="N26" s="49">
        <v>1230.0257624650608</v>
      </c>
      <c r="O26" s="49">
        <v>0</v>
      </c>
      <c r="P26" s="49">
        <v>0</v>
      </c>
      <c r="Q26" s="49">
        <v>1230.0257568359375</v>
      </c>
      <c r="R26" s="49">
        <v>22.77615495274145</v>
      </c>
      <c r="S26" s="49">
        <v>1232.488843176742</v>
      </c>
      <c r="T26" s="49">
        <v>35.316368103027344</v>
      </c>
      <c r="U26" s="49">
        <v>182.6717529296875</v>
      </c>
      <c r="V26" s="49">
        <v>1448.8755040294957</v>
      </c>
      <c r="W26" s="49">
        <v>1230.0257624650608</v>
      </c>
      <c r="X26" s="48">
        <v>1.1779228925464489</v>
      </c>
      <c r="Y26" s="60">
        <v>587.1381225585938</v>
      </c>
      <c r="Z26" s="60">
        <v>0</v>
      </c>
      <c r="AA26" s="60">
        <v>0</v>
      </c>
      <c r="AB26" s="60">
        <v>2036.013671875</v>
      </c>
      <c r="AC26" s="60">
        <v>1230.0257568359375</v>
      </c>
      <c r="AD26" s="48">
        <v>1.6552610397338867</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67</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68</v>
      </c>
      <c r="C30" s="59" t="s">
        <v>64</v>
      </c>
      <c r="D30" s="59" t="s">
        <v>65</v>
      </c>
      <c r="E30" s="59" t="s">
        <v>69</v>
      </c>
      <c r="F30" s="59" t="s">
        <v>70</v>
      </c>
      <c r="G30" s="59" t="s">
        <v>71</v>
      </c>
      <c r="H30" s="59" t="s">
        <v>72</v>
      </c>
      <c r="I30" s="59" t="s">
        <v>66</v>
      </c>
      <c r="J30" s="59" t="s">
        <v>55</v>
      </c>
      <c r="K30" s="59" t="s">
        <v>63</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73</v>
      </c>
      <c r="C31" s="49">
        <v>14045.755454633603</v>
      </c>
      <c r="D31" s="49">
        <v>4920.103049860243</v>
      </c>
      <c r="E31" s="49">
        <v>4920.1</v>
      </c>
      <c r="F31" s="49">
        <v>984.0204000000001</v>
      </c>
      <c r="G31" s="49">
        <v>5904.123449860243</v>
      </c>
      <c r="H31" s="49">
        <v>3682.259765625</v>
      </c>
      <c r="I31" s="49">
        <v>22.790290767890856</v>
      </c>
      <c r="J31" s="49">
        <v>5912.276895476598</v>
      </c>
      <c r="K31" s="48">
        <v>1.001380974785774</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74</v>
      </c>
      <c r="C32" s="49">
        <v>0</v>
      </c>
      <c r="D32" s="49">
        <v>0</v>
      </c>
      <c r="E32" s="49">
        <v>0</v>
      </c>
      <c r="F32" s="49">
        <v>0</v>
      </c>
      <c r="G32" s="49">
        <v>0</v>
      </c>
      <c r="H32" s="49">
        <v>0</v>
      </c>
      <c r="I32" s="49">
        <v>0</v>
      </c>
      <c r="J32" s="49">
        <v>5912.276895476598</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75</v>
      </c>
      <c r="C33" s="49">
        <v>10760.04809388558</v>
      </c>
      <c r="D33" s="49">
        <v>4386.53466796875</v>
      </c>
      <c r="E33" s="49">
        <v>4386.533548856837</v>
      </c>
      <c r="F33" s="49">
        <v>877.3067097713674</v>
      </c>
      <c r="G33" s="49">
        <v>5263.841377740117</v>
      </c>
      <c r="H33" s="49">
        <v>4285.4130859375</v>
      </c>
      <c r="I33" s="49">
        <v>26.523334379133573</v>
      </c>
      <c r="J33" s="49">
        <v>4529.224785749071</v>
      </c>
      <c r="K33" s="69">
        <v>0.8604409709043259</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76</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77</v>
      </c>
      <c r="C35" s="49">
        <v>4221.098208727884</v>
      </c>
      <c r="D35" s="49">
        <v>1230.0257624650608</v>
      </c>
      <c r="E35" s="49">
        <v>1230.03</v>
      </c>
      <c r="F35" s="49">
        <v>246.00510000000003</v>
      </c>
      <c r="G35" s="49">
        <v>1476.0308624650609</v>
      </c>
      <c r="H35" s="49">
        <v>3063.191162109375</v>
      </c>
      <c r="I35" s="49">
        <v>18.958742194383795</v>
      </c>
      <c r="J35" s="49">
        <v>1776.7859830399243</v>
      </c>
      <c r="K35" s="102">
        <v>1.2037593713132693</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78</v>
      </c>
      <c r="C36" s="49">
        <v>9824.65724590572</v>
      </c>
      <c r="D36" s="49">
        <v>3690.0772873951823</v>
      </c>
      <c r="E36" s="49">
        <v>3690.08</v>
      </c>
      <c r="F36" s="49">
        <v>738.0153</v>
      </c>
      <c r="G36" s="49">
        <v>4428.092587395182</v>
      </c>
      <c r="H36" s="49">
        <v>3948.238525390625</v>
      </c>
      <c r="I36" s="49">
        <v>24.436489959931315</v>
      </c>
      <c r="J36" s="49">
        <v>4135.490912436673</v>
      </c>
      <c r="K36" s="70">
        <v>0.9339215092766091</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79</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80</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81</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82</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39"/>
      <c r="AF516" s="39"/>
      <c r="AG516" s="39"/>
      <c r="AH516" s="39"/>
      <c r="AI516" s="39"/>
      <c r="AJ516" s="39"/>
      <c r="AK516" s="39"/>
      <c r="AL516" s="39"/>
      <c r="AM516" s="39"/>
      <c r="AN516" s="39"/>
      <c r="AO516" s="39"/>
    </row>
    <row r="517" spans="1:41" ht="12"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39"/>
      <c r="AF517" s="39"/>
      <c r="AG517" s="39"/>
      <c r="AH517" s="39"/>
      <c r="AI517" s="39"/>
      <c r="AJ517" s="39"/>
      <c r="AK517" s="39"/>
      <c r="AL517" s="39"/>
      <c r="AM517" s="39"/>
      <c r="AN517" s="39"/>
      <c r="AO517" s="39"/>
    </row>
    <row r="518" spans="1:41" ht="12"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39"/>
      <c r="AF518" s="39"/>
      <c r="AG518" s="39"/>
      <c r="AH518" s="39"/>
      <c r="AI518" s="39"/>
      <c r="AJ518" s="39"/>
      <c r="AK518" s="39"/>
      <c r="AL518" s="39"/>
      <c r="AM518" s="39"/>
      <c r="AN518" s="39"/>
      <c r="AO518" s="39"/>
    </row>
    <row r="519" spans="1:41" ht="12"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30"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3:30" ht="12.75">
      <c r="C526" s="39"/>
      <c r="D526" s="39"/>
      <c r="E526" s="39"/>
      <c r="F526" s="39"/>
      <c r="G526" s="39"/>
      <c r="H526" s="39"/>
      <c r="I526" s="103"/>
      <c r="J526" s="103"/>
      <c r="K526" s="103"/>
      <c r="L526" s="103"/>
      <c r="M526" s="103"/>
      <c r="S526" s="39"/>
      <c r="T526" s="39"/>
      <c r="U526" s="39"/>
      <c r="X526" s="49"/>
      <c r="Y526" s="49"/>
      <c r="Z526" s="39"/>
      <c r="AA526" s="39"/>
      <c r="AB526" s="39"/>
      <c r="AC526" s="39"/>
      <c r="AD526" s="39"/>
    </row>
    <row r="527" spans="3:30" ht="12.75">
      <c r="C527" s="39"/>
      <c r="D527" s="39"/>
      <c r="E527" s="39"/>
      <c r="F527" s="39"/>
      <c r="G527" s="39"/>
      <c r="H527" s="39"/>
      <c r="I527" s="103"/>
      <c r="J527" s="103"/>
      <c r="K527" s="103"/>
      <c r="L527" s="103"/>
      <c r="M527" s="103"/>
      <c r="S527" s="39"/>
      <c r="T527" s="39"/>
      <c r="U527" s="39"/>
      <c r="X527" s="49"/>
      <c r="Y527" s="49"/>
      <c r="Z527" s="39"/>
      <c r="AA527" s="39"/>
      <c r="AB527" s="39"/>
      <c r="AC527" s="39"/>
      <c r="AD527" s="39"/>
    </row>
    <row r="528" spans="3:30" ht="12.75">
      <c r="C528" s="39"/>
      <c r="D528" s="39"/>
      <c r="E528" s="39"/>
      <c r="F528" s="39"/>
      <c r="G528" s="39"/>
      <c r="H528" s="39"/>
      <c r="I528" s="103"/>
      <c r="J528" s="103"/>
      <c r="K528" s="103"/>
      <c r="L528" s="103"/>
      <c r="M528" s="103"/>
      <c r="S528" s="39"/>
      <c r="T528" s="39"/>
      <c r="U528" s="39"/>
      <c r="X528" s="49"/>
      <c r="Y528" s="49"/>
      <c r="Z528" s="39"/>
      <c r="AA528" s="39"/>
      <c r="AB528" s="39"/>
      <c r="AC528" s="39"/>
      <c r="AD528" s="39"/>
    </row>
    <row r="529" spans="3:30" ht="12.75">
      <c r="C529" s="39"/>
      <c r="D529" s="39"/>
      <c r="E529" s="39"/>
      <c r="F529" s="39"/>
      <c r="G529" s="39"/>
      <c r="H529" s="39"/>
      <c r="I529" s="103"/>
      <c r="J529" s="103"/>
      <c r="K529" s="103"/>
      <c r="L529" s="103"/>
      <c r="M529" s="103"/>
      <c r="S529" s="39"/>
      <c r="T529" s="39"/>
      <c r="U529" s="39"/>
      <c r="X529" s="49"/>
      <c r="Y529" s="49"/>
      <c r="Z529" s="39"/>
      <c r="AA529" s="39"/>
      <c r="AB529" s="39"/>
      <c r="AC529" s="39"/>
      <c r="AD529"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dimension ref="A1:AO533"/>
  <sheetViews>
    <sheetView workbookViewId="0" topLeftCell="Q28">
      <selection activeCell="K65" sqref="K65"/>
    </sheetView>
  </sheetViews>
  <sheetFormatPr defaultColWidth="9.140625" defaultRowHeight="12.75"/>
  <cols>
    <col min="1" max="1" width="39.28125" style="37" customWidth="1"/>
    <col min="2" max="2" width="36.57421875" style="37" customWidth="1"/>
    <col min="3" max="3" width="8.8515625" style="37" customWidth="1"/>
    <col min="4" max="4" width="8.57421875" style="37" customWidth="1"/>
    <col min="5" max="5" width="8.421875" style="37" customWidth="1"/>
    <col min="6" max="6" width="9.00390625" style="37" customWidth="1"/>
    <col min="7" max="7" width="14.57421875" style="37" customWidth="1"/>
    <col min="8" max="8" width="11.57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29" width="8.8515625" style="37" customWidth="1"/>
    <col min="30" max="30" width="11.7109375" style="37" customWidth="1"/>
    <col min="31" max="16384" width="8.8515625" style="37" customWidth="1"/>
  </cols>
  <sheetData>
    <row r="1" ht="14.25">
      <c r="A1" s="36" t="s">
        <v>132</v>
      </c>
    </row>
    <row r="2" ht="12.75">
      <c r="A2" s="37">
        <v>850</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104" t="str">
        <f aca="true" t="shared" si="0" ref="A6:A17">B6</f>
        <v>ATTIC R19</v>
      </c>
      <c r="B6" s="104" t="str">
        <f>'UA Optimizer'!T45</f>
        <v>ATTIC R19</v>
      </c>
      <c r="C6" s="98">
        <f>'UA Optimizer'!Y45</f>
        <v>3396.797458263016</v>
      </c>
      <c r="D6" s="98">
        <v>45</v>
      </c>
      <c r="E6" s="99">
        <f>'UA Optimizer'!V45</f>
        <v>732.6936963096837</v>
      </c>
      <c r="F6" s="100">
        <v>0</v>
      </c>
      <c r="G6" s="101" t="s">
        <v>169</v>
      </c>
      <c r="H6"/>
      <c r="I6"/>
      <c r="J6"/>
      <c r="K6"/>
      <c r="L6"/>
      <c r="M6"/>
      <c r="N6"/>
      <c r="O6"/>
      <c r="P6"/>
      <c r="Q6"/>
      <c r="R6"/>
      <c r="S6"/>
      <c r="T6"/>
      <c r="U6"/>
      <c r="V6"/>
      <c r="W6"/>
    </row>
    <row r="7" spans="1:23" ht="12.75">
      <c r="A7" s="104" t="str">
        <f t="shared" si="0"/>
        <v>FLOOR R11</v>
      </c>
      <c r="B7" s="104" t="str">
        <f>'UA Optimizer'!T46</f>
        <v>FLOOR R11</v>
      </c>
      <c r="C7" s="98">
        <f>'UA Optimizer'!Y46</f>
        <v>1657.3455141747127</v>
      </c>
      <c r="D7" s="98">
        <v>45</v>
      </c>
      <c r="E7" s="99">
        <f>'UA Optimizer'!V46</f>
        <v>510</v>
      </c>
      <c r="F7" s="100">
        <v>0</v>
      </c>
      <c r="G7" s="101" t="s">
        <v>169</v>
      </c>
      <c r="H7"/>
      <c r="I7"/>
      <c r="J7"/>
      <c r="K7"/>
      <c r="L7"/>
      <c r="M7"/>
      <c r="N7"/>
      <c r="O7"/>
      <c r="P7"/>
      <c r="Q7"/>
      <c r="R7"/>
      <c r="S7"/>
      <c r="T7"/>
      <c r="U7"/>
      <c r="V7"/>
      <c r="W7"/>
    </row>
    <row r="8" spans="1:7" ht="12.75" customHeight="1">
      <c r="A8" s="104" t="str">
        <f t="shared" si="0"/>
        <v>WALL R11</v>
      </c>
      <c r="B8" s="104" t="str">
        <f>'UA Optimizer'!T47</f>
        <v>WALL R11</v>
      </c>
      <c r="C8" s="98">
        <f>'UA Optimizer'!Y47</f>
        <v>1838.4873614427452</v>
      </c>
      <c r="D8" s="98">
        <v>45</v>
      </c>
      <c r="E8" s="99">
        <f>'UA Optimizer'!V47</f>
        <v>654.118032745393</v>
      </c>
      <c r="F8" s="100">
        <v>0</v>
      </c>
      <c r="G8" s="101" t="s">
        <v>169</v>
      </c>
    </row>
    <row r="9" spans="1:23" ht="12.75">
      <c r="A9" s="104" t="str">
        <f t="shared" si="0"/>
        <v>FLOOR R19</v>
      </c>
      <c r="B9" s="104" t="str">
        <f>'UA Optimizer'!T48</f>
        <v>FLOOR R19</v>
      </c>
      <c r="C9" s="98">
        <f>'UA Optimizer'!Y48</f>
        <v>441.6811706046374</v>
      </c>
      <c r="D9" s="98">
        <v>45</v>
      </c>
      <c r="E9" s="99">
        <f>'UA Optimizer'!V48</f>
        <v>168.8311330778076</v>
      </c>
      <c r="F9" s="100">
        <v>0</v>
      </c>
      <c r="G9" s="101" t="s">
        <v>169</v>
      </c>
      <c r="H9"/>
      <c r="I9"/>
      <c r="J9"/>
      <c r="K9"/>
      <c r="L9"/>
      <c r="M9"/>
      <c r="N9"/>
      <c r="O9"/>
      <c r="P9"/>
      <c r="Q9"/>
      <c r="R9"/>
      <c r="S9"/>
      <c r="T9"/>
      <c r="U9"/>
      <c r="V9"/>
      <c r="W9"/>
    </row>
    <row r="10" spans="1:23" ht="12.75">
      <c r="A10" s="104" t="str">
        <f t="shared" si="0"/>
        <v>ATTIC R38</v>
      </c>
      <c r="B10" s="104" t="str">
        <f>'UA Optimizer'!T49</f>
        <v>ATTIC R38</v>
      </c>
      <c r="C10" s="98">
        <f>'UA Optimizer'!Y49</f>
        <v>653.7163712277197</v>
      </c>
      <c r="D10" s="98">
        <v>45</v>
      </c>
      <c r="E10" s="99">
        <f>'UA Optimizer'!V49</f>
        <v>280.8095966433878</v>
      </c>
      <c r="F10" s="100">
        <v>0</v>
      </c>
      <c r="G10" s="101" t="s">
        <v>169</v>
      </c>
      <c r="H10"/>
      <c r="I10"/>
      <c r="J10"/>
      <c r="K10"/>
      <c r="L10"/>
      <c r="M10"/>
      <c r="N10"/>
      <c r="O10"/>
      <c r="P10"/>
      <c r="Q10"/>
      <c r="R10"/>
      <c r="S10"/>
      <c r="T10"/>
      <c r="U10"/>
      <c r="V10"/>
      <c r="W10"/>
    </row>
    <row r="11" spans="1:7" ht="12.75" customHeight="1">
      <c r="A11" s="104" t="str">
        <f t="shared" si="0"/>
        <v>FLOOR R30</v>
      </c>
      <c r="B11" s="104" t="str">
        <f>'UA Optimizer'!T50</f>
        <v>FLOOR R30</v>
      </c>
      <c r="C11" s="98">
        <f>'UA Optimizer'!Y50</f>
        <v>370.04670459232875</v>
      </c>
      <c r="D11" s="98">
        <v>45</v>
      </c>
      <c r="E11" s="99">
        <f>'UA Optimizer'!V50</f>
        <v>212.5</v>
      </c>
      <c r="F11" s="100">
        <v>0</v>
      </c>
      <c r="G11" s="101" t="s">
        <v>169</v>
      </c>
    </row>
    <row r="12" spans="1:7" ht="12.75" customHeight="1">
      <c r="A12" s="104" t="str">
        <f t="shared" si="0"/>
        <v>CLASS 35 PRIME WINDOW (Energy Star)</v>
      </c>
      <c r="B12" s="104" t="str">
        <f>'UA Optimizer'!T51</f>
        <v>CLASS 35 PRIME WINDOW (Energy Star)</v>
      </c>
      <c r="C12" s="98">
        <f>'UA Optimizer'!Y51</f>
        <v>2502.0590485712682</v>
      </c>
      <c r="D12" s="98">
        <v>45</v>
      </c>
      <c r="E12" s="99">
        <f>'UA Optimizer'!V51</f>
        <v>1505.1622909598884</v>
      </c>
      <c r="F12" s="100">
        <v>0</v>
      </c>
      <c r="G12" s="101" t="s">
        <v>169</v>
      </c>
    </row>
    <row r="13" spans="1:26" ht="12.75" customHeight="1">
      <c r="A13" s="104" t="str">
        <f t="shared" si="0"/>
        <v>FLOOR R38</v>
      </c>
      <c r="B13" s="104" t="str">
        <f>'UA Optimizer'!T52</f>
        <v>FLOOR R38</v>
      </c>
      <c r="C13" s="98">
        <f>'UA Optimizer'!Y52</f>
        <v>114.46932317609026</v>
      </c>
      <c r="D13" s="98">
        <v>45</v>
      </c>
      <c r="E13" s="99">
        <f>'UA Optimizer'!V52</f>
        <v>110.5</v>
      </c>
      <c r="F13" s="100">
        <v>0</v>
      </c>
      <c r="G13" s="101" t="s">
        <v>169</v>
      </c>
      <c r="H13" s="49"/>
      <c r="I13" s="49"/>
      <c r="J13" s="49"/>
      <c r="K13" s="49"/>
      <c r="L13" s="49"/>
      <c r="M13" s="49"/>
      <c r="N13" s="49"/>
      <c r="O13" s="49"/>
      <c r="P13" s="49"/>
      <c r="Q13" s="49"/>
      <c r="R13" s="49"/>
      <c r="S13" s="49"/>
      <c r="T13" s="49"/>
      <c r="U13" s="49"/>
      <c r="V13" s="49"/>
      <c r="W13" s="49"/>
      <c r="X13" s="49"/>
      <c r="Y13" s="49"/>
      <c r="Z13" s="49"/>
    </row>
    <row r="14" spans="1:26" ht="12.75" customHeight="1">
      <c r="A14" s="104" t="str">
        <f t="shared" si="0"/>
        <v>INFILTRATION @ O.35 ACH</v>
      </c>
      <c r="B14" s="104" t="str">
        <f>'UA Optimizer'!T53</f>
        <v>INFILTRATION @ O.35 ACH</v>
      </c>
      <c r="C14" s="98">
        <f>'UA Optimizer'!Y53</f>
        <v>412.0895634339231</v>
      </c>
      <c r="D14" s="98">
        <v>45</v>
      </c>
      <c r="E14" s="99">
        <f>'UA Optimizer'!V53</f>
        <v>425</v>
      </c>
      <c r="F14" s="100">
        <v>0</v>
      </c>
      <c r="G14" s="101" t="s">
        <v>169</v>
      </c>
      <c r="H14" s="49"/>
      <c r="I14" s="49"/>
      <c r="J14" s="49"/>
      <c r="K14" s="49"/>
      <c r="L14" s="49"/>
      <c r="M14" s="49"/>
      <c r="N14" s="49"/>
      <c r="O14" s="49"/>
      <c r="P14" s="49"/>
      <c r="Q14" s="49"/>
      <c r="R14" s="49"/>
      <c r="S14" s="49"/>
      <c r="T14" s="49"/>
      <c r="U14" s="49"/>
      <c r="V14" s="49"/>
      <c r="W14" s="49"/>
      <c r="X14" s="49"/>
      <c r="Y14" s="49"/>
      <c r="Z14" s="49"/>
    </row>
    <row r="15" spans="1:26" ht="12.75" customHeight="1">
      <c r="A15" s="104" t="str">
        <f t="shared" si="0"/>
        <v>ATTIC R49</v>
      </c>
      <c r="B15" s="104" t="str">
        <f>'UA Optimizer'!T54</f>
        <v>ATTIC R49</v>
      </c>
      <c r="C15" s="98">
        <f>'UA Optimizer'!Y54</f>
        <v>142.96605845297063</v>
      </c>
      <c r="D15" s="98">
        <v>45</v>
      </c>
      <c r="E15" s="99">
        <f>'UA Optimizer'!V54</f>
        <v>154.67313911059014</v>
      </c>
      <c r="F15" s="100">
        <v>0</v>
      </c>
      <c r="G15" s="101" t="s">
        <v>169</v>
      </c>
      <c r="H15" s="49"/>
      <c r="I15" s="49"/>
      <c r="J15" s="49"/>
      <c r="K15" s="49"/>
      <c r="L15" s="49"/>
      <c r="M15" s="49"/>
      <c r="N15" s="49"/>
      <c r="O15" s="49"/>
      <c r="P15" s="49"/>
      <c r="Q15" s="49"/>
      <c r="R15" s="49"/>
      <c r="S15" s="49"/>
      <c r="T15" s="49"/>
      <c r="U15" s="49"/>
      <c r="V15" s="49"/>
      <c r="W15" s="49"/>
      <c r="X15" s="49"/>
      <c r="Y15" s="49"/>
      <c r="Z15" s="49"/>
    </row>
    <row r="16" spans="1:26" ht="12.75" customHeight="1">
      <c r="A16" s="104" t="str">
        <f t="shared" si="0"/>
        <v>CLASS 25 PRIME WINDOW </v>
      </c>
      <c r="B16" s="104" t="str">
        <f>'UA Optimizer'!T55</f>
        <v>CLASS 25 PRIME WINDOW </v>
      </c>
      <c r="C16" s="98">
        <f>'UA Optimizer'!Y55</f>
        <v>290.86014723118114</v>
      </c>
      <c r="D16" s="98">
        <v>45</v>
      </c>
      <c r="E16" s="99">
        <f>'UA Optimizer'!V55</f>
        <v>451.2</v>
      </c>
      <c r="F16" s="100">
        <v>0</v>
      </c>
      <c r="G16" s="101" t="s">
        <v>169</v>
      </c>
      <c r="H16" s="49"/>
      <c r="I16" s="49"/>
      <c r="J16" s="49"/>
      <c r="K16" s="49"/>
      <c r="L16" s="49"/>
      <c r="M16" s="49"/>
      <c r="N16" s="49"/>
      <c r="O16" s="49"/>
      <c r="P16" s="49"/>
      <c r="Q16" s="49"/>
      <c r="R16" s="49"/>
      <c r="S16" s="49"/>
      <c r="T16" s="49"/>
      <c r="U16" s="49"/>
      <c r="V16" s="49"/>
      <c r="W16" s="49"/>
      <c r="X16" s="49"/>
      <c r="Y16" s="49"/>
      <c r="Z16" s="49"/>
    </row>
    <row r="17" spans="1:26" ht="12.75" customHeight="1">
      <c r="A17" s="104" t="str">
        <f t="shared" si="0"/>
        <v>DOOR R5</v>
      </c>
      <c r="B17" s="104" t="str">
        <f>'UA Optimizer'!T56</f>
        <v>DOOR R5</v>
      </c>
      <c r="C17" s="98">
        <f>'UA Optimizer'!Y56</f>
        <v>364.5499912100754</v>
      </c>
      <c r="D17" s="98">
        <v>45</v>
      </c>
      <c r="E17" s="99">
        <f>'UA Optimizer'!V56</f>
        <v>600.46875</v>
      </c>
      <c r="F17" s="100">
        <v>0</v>
      </c>
      <c r="G17" s="101" t="s">
        <v>169</v>
      </c>
      <c r="H17" s="49"/>
      <c r="I17" s="49"/>
      <c r="J17" s="49"/>
      <c r="K17" s="49"/>
      <c r="L17" s="49"/>
      <c r="M17" s="49"/>
      <c r="N17" s="49"/>
      <c r="O17" s="49"/>
      <c r="P17" s="49"/>
      <c r="Q17" s="49"/>
      <c r="R17" s="49"/>
      <c r="S17" s="49"/>
      <c r="T17" s="49"/>
      <c r="U17" s="49"/>
      <c r="V17" s="49"/>
      <c r="W17" s="49"/>
      <c r="X17" s="49"/>
      <c r="Y17" s="49"/>
      <c r="Z17" s="49"/>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86" t="s">
        <v>599</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s="52" t="s">
        <v>136</v>
      </c>
      <c r="B21" s="53"/>
      <c r="C21" s="54" t="s">
        <v>83</v>
      </c>
      <c r="D21" s="56"/>
      <c r="E21" s="56"/>
      <c r="F21" s="56"/>
      <c r="G21" s="56"/>
      <c r="H21" s="56"/>
      <c r="I21" s="56"/>
      <c r="J21" s="55"/>
      <c r="K21" s="54" t="s">
        <v>50</v>
      </c>
      <c r="L21" s="56"/>
      <c r="M21" s="55"/>
      <c r="N21" s="54" t="s">
        <v>51</v>
      </c>
      <c r="O21" s="56"/>
      <c r="P21" s="56"/>
      <c r="Q21" s="55"/>
      <c r="R21" s="54" t="s">
        <v>52</v>
      </c>
      <c r="S21" s="55"/>
      <c r="T21" s="54" t="s">
        <v>53</v>
      </c>
      <c r="U21" s="56"/>
      <c r="V21" s="56"/>
      <c r="W21" s="56"/>
      <c r="X21" s="55"/>
      <c r="Y21" s="54" t="s">
        <v>54</v>
      </c>
      <c r="Z21" s="56"/>
      <c r="AA21" s="56"/>
      <c r="AB21" s="56"/>
      <c r="AC21" s="55"/>
      <c r="AD21" s="54" t="s">
        <v>84</v>
      </c>
      <c r="AE21" s="56"/>
      <c r="AF21" s="56"/>
      <c r="AG21" s="56"/>
      <c r="AH21" s="56"/>
      <c r="AI21" s="55"/>
      <c r="AJ21" s="54" t="s">
        <v>85</v>
      </c>
      <c r="AK21" s="56"/>
      <c r="AL21" s="56"/>
      <c r="AM21" s="56"/>
      <c r="AN21" s="56"/>
      <c r="AO21" s="55"/>
    </row>
    <row r="22" spans="1:41" ht="51">
      <c r="A22" s="57" t="s">
        <v>56</v>
      </c>
      <c r="B22" s="58" t="s">
        <v>57</v>
      </c>
      <c r="C22" s="59" t="s">
        <v>86</v>
      </c>
      <c r="D22" s="59" t="s">
        <v>87</v>
      </c>
      <c r="E22" s="59" t="s">
        <v>88</v>
      </c>
      <c r="F22" s="59" t="s">
        <v>89</v>
      </c>
      <c r="G22" s="59" t="s">
        <v>155</v>
      </c>
      <c r="H22" s="59" t="s">
        <v>91</v>
      </c>
      <c r="I22" s="59" t="s">
        <v>92</v>
      </c>
      <c r="J22" s="59" t="s">
        <v>93</v>
      </c>
      <c r="K22" s="59" t="s">
        <v>94</v>
      </c>
      <c r="L22" s="59" t="s">
        <v>95</v>
      </c>
      <c r="M22" s="59" t="s">
        <v>96</v>
      </c>
      <c r="N22" s="59" t="s">
        <v>25</v>
      </c>
      <c r="O22" s="59" t="s">
        <v>26</v>
      </c>
      <c r="P22" s="59" t="s">
        <v>27</v>
      </c>
      <c r="Q22" s="59" t="s">
        <v>9</v>
      </c>
      <c r="R22" s="59" t="s">
        <v>58</v>
      </c>
      <c r="S22" s="59" t="s">
        <v>9</v>
      </c>
      <c r="T22" s="59" t="s">
        <v>25</v>
      </c>
      <c r="U22" s="59" t="s">
        <v>26</v>
      </c>
      <c r="V22" s="59" t="s">
        <v>27</v>
      </c>
      <c r="W22" s="59" t="s">
        <v>9</v>
      </c>
      <c r="X22" s="59" t="s">
        <v>62</v>
      </c>
      <c r="Y22" s="59" t="s">
        <v>25</v>
      </c>
      <c r="Z22" s="59" t="s">
        <v>26</v>
      </c>
      <c r="AA22" s="59" t="s">
        <v>27</v>
      </c>
      <c r="AB22" s="59" t="s">
        <v>9</v>
      </c>
      <c r="AC22" s="59" t="s">
        <v>62</v>
      </c>
      <c r="AD22" s="59" t="s">
        <v>97</v>
      </c>
      <c r="AE22" s="59" t="s">
        <v>98</v>
      </c>
      <c r="AF22" s="59" t="s">
        <v>61</v>
      </c>
      <c r="AG22" s="59" t="s">
        <v>99</v>
      </c>
      <c r="AH22" s="59" t="s">
        <v>100</v>
      </c>
      <c r="AI22" s="59" t="s">
        <v>101</v>
      </c>
      <c r="AJ22" s="59" t="s">
        <v>102</v>
      </c>
      <c r="AK22" s="59" t="s">
        <v>59</v>
      </c>
      <c r="AL22" s="59" t="s">
        <v>60</v>
      </c>
      <c r="AM22" s="59" t="s">
        <v>103</v>
      </c>
      <c r="AN22" s="59" t="s">
        <v>104</v>
      </c>
      <c r="AO22" s="59" t="s">
        <v>105</v>
      </c>
    </row>
    <row r="23" spans="1:41" ht="12.75" customHeight="1">
      <c r="A23" t="s">
        <v>172</v>
      </c>
      <c r="B23" t="s">
        <v>172</v>
      </c>
      <c r="C23" s="49">
        <v>45</v>
      </c>
      <c r="D23" s="49">
        <v>3396.797458263016</v>
      </c>
      <c r="E23" s="49">
        <v>732.69</v>
      </c>
      <c r="F23" s="49">
        <v>0</v>
      </c>
      <c r="G23" s="49">
        <v>0</v>
      </c>
      <c r="H23" s="49" t="s">
        <v>169</v>
      </c>
      <c r="I23" s="49">
        <v>0.21</v>
      </c>
      <c r="J23" s="49">
        <v>0.4009999930858612</v>
      </c>
      <c r="K23" s="49">
        <v>3655.8032644555706</v>
      </c>
      <c r="L23" s="60">
        <v>0.7968999150739033</v>
      </c>
      <c r="M23" s="49">
        <v>1.987281617990634</v>
      </c>
      <c r="N23" s="49"/>
      <c r="O23" s="49"/>
      <c r="P23" s="49">
        <v>732.6938563435039</v>
      </c>
      <c r="Q23" s="49">
        <v>0</v>
      </c>
      <c r="R23" s="49">
        <v>0</v>
      </c>
      <c r="S23" s="49">
        <v>0</v>
      </c>
      <c r="T23" s="49">
        <v>0</v>
      </c>
      <c r="U23" s="49">
        <v>0</v>
      </c>
      <c r="V23" s="49">
        <v>732.6938563435039</v>
      </c>
      <c r="W23" s="49">
        <v>0</v>
      </c>
      <c r="X23" s="49">
        <v>732.6938563435039</v>
      </c>
      <c r="Y23" s="49">
        <v>0</v>
      </c>
      <c r="Z23" s="49">
        <v>0</v>
      </c>
      <c r="AA23" s="49">
        <v>10.866239547729492</v>
      </c>
      <c r="AB23" s="49">
        <v>0</v>
      </c>
      <c r="AC23" s="49">
        <v>10.866239500333936</v>
      </c>
      <c r="AD23" s="49">
        <v>1538.8365007962766</v>
      </c>
      <c r="AE23" s="49">
        <v>44.094609209130226</v>
      </c>
      <c r="AF23" s="49">
        <v>228.07669067382812</v>
      </c>
      <c r="AG23" s="49">
        <v>1809.0082832189878</v>
      </c>
      <c r="AH23" s="49">
        <v>732.6938563435039</v>
      </c>
      <c r="AI23" s="48">
        <v>2.4689824645818823</v>
      </c>
      <c r="AJ23" s="49">
        <v>733.0774536132812</v>
      </c>
      <c r="AK23" s="49">
        <v>0</v>
      </c>
      <c r="AL23" s="49">
        <v>0</v>
      </c>
      <c r="AM23" s="49">
        <v>2542.085693359375</v>
      </c>
      <c r="AN23" s="49">
        <v>732.6938563435039</v>
      </c>
      <c r="AO23" s="48">
        <v>3.469506025314331</v>
      </c>
    </row>
    <row r="24" spans="1:41" ht="12.75" customHeight="1">
      <c r="A24" t="s">
        <v>173</v>
      </c>
      <c r="B24" t="s">
        <v>173</v>
      </c>
      <c r="C24" s="49">
        <v>45</v>
      </c>
      <c r="D24" s="49">
        <v>1657.3455141747127</v>
      </c>
      <c r="E24" s="49">
        <v>510</v>
      </c>
      <c r="F24" s="49">
        <v>0</v>
      </c>
      <c r="G24" s="49">
        <v>0</v>
      </c>
      <c r="H24" s="49" t="s">
        <v>169</v>
      </c>
      <c r="I24" s="49">
        <v>0.21</v>
      </c>
      <c r="J24" s="49">
        <v>0.4009999930858612</v>
      </c>
      <c r="K24" s="49">
        <v>1783.7181096305344</v>
      </c>
      <c r="L24" s="60">
        <v>0.38881873756738955</v>
      </c>
      <c r="M24" s="49">
        <v>0.9696228036695665</v>
      </c>
      <c r="N24" s="49"/>
      <c r="O24" s="49"/>
      <c r="P24" s="49">
        <v>510.00010882472026</v>
      </c>
      <c r="Q24" s="49">
        <v>0</v>
      </c>
      <c r="R24" s="49">
        <v>0</v>
      </c>
      <c r="S24" s="49">
        <v>0</v>
      </c>
      <c r="T24" s="49">
        <v>0</v>
      </c>
      <c r="U24" s="49">
        <v>0</v>
      </c>
      <c r="V24" s="49">
        <v>510.00010882472026</v>
      </c>
      <c r="W24" s="49">
        <v>0</v>
      </c>
      <c r="X24" s="49">
        <v>510.00010882472026</v>
      </c>
      <c r="Y24" s="49">
        <v>0</v>
      </c>
      <c r="Z24" s="49">
        <v>0</v>
      </c>
      <c r="AA24" s="49">
        <v>15.501852035522461</v>
      </c>
      <c r="AB24" s="49">
        <v>0</v>
      </c>
      <c r="AC24" s="49">
        <v>15.501852007577556</v>
      </c>
      <c r="AD24" s="49">
        <v>750.8200895048889</v>
      </c>
      <c r="AE24" s="49">
        <v>21.51438337727945</v>
      </c>
      <c r="AF24" s="49">
        <v>111.28185272216797</v>
      </c>
      <c r="AG24" s="49">
        <v>882.6407327602021</v>
      </c>
      <c r="AH24" s="49">
        <v>510.00010882472026</v>
      </c>
      <c r="AI24" s="48">
        <v>1.7306677341583727</v>
      </c>
      <c r="AJ24" s="49">
        <v>357.678955078125</v>
      </c>
      <c r="AK24" s="49">
        <v>0</v>
      </c>
      <c r="AL24" s="49">
        <v>0</v>
      </c>
      <c r="AM24" s="49">
        <v>1240.3197021484375</v>
      </c>
      <c r="AN24" s="49">
        <v>510.00010882472026</v>
      </c>
      <c r="AO24" s="48">
        <v>2.4319989681243896</v>
      </c>
    </row>
    <row r="25" spans="1:41" ht="12.75" customHeight="1">
      <c r="A25" t="s">
        <v>171</v>
      </c>
      <c r="B25" t="s">
        <v>171</v>
      </c>
      <c r="C25" s="49">
        <v>45</v>
      </c>
      <c r="D25" s="49">
        <v>1838.4873614427452</v>
      </c>
      <c r="E25" s="49">
        <v>654.12</v>
      </c>
      <c r="F25" s="49">
        <v>0</v>
      </c>
      <c r="G25" s="49">
        <v>0</v>
      </c>
      <c r="H25" s="49" t="s">
        <v>169</v>
      </c>
      <c r="I25" s="49">
        <v>0.21</v>
      </c>
      <c r="J25" s="49">
        <v>0.4009999930858612</v>
      </c>
      <c r="K25" s="49">
        <v>1978.6720227527544</v>
      </c>
      <c r="L25" s="60">
        <v>0.4313152138742344</v>
      </c>
      <c r="M25" s="49">
        <v>1.0755990556385924</v>
      </c>
      <c r="N25" s="49"/>
      <c r="O25" s="49"/>
      <c r="P25" s="49">
        <v>654.1181395768792</v>
      </c>
      <c r="Q25" s="49">
        <v>0</v>
      </c>
      <c r="R25" s="49">
        <v>0</v>
      </c>
      <c r="S25" s="49">
        <v>0</v>
      </c>
      <c r="T25" s="49">
        <v>0</v>
      </c>
      <c r="U25" s="49">
        <v>0</v>
      </c>
      <c r="V25" s="49">
        <v>654.1181395768792</v>
      </c>
      <c r="W25" s="49">
        <v>0</v>
      </c>
      <c r="X25" s="49">
        <v>654.1181395768792</v>
      </c>
      <c r="Y25" s="49">
        <v>0</v>
      </c>
      <c r="Z25" s="49">
        <v>0</v>
      </c>
      <c r="AA25" s="49">
        <v>17.9234619140625</v>
      </c>
      <c r="AB25" s="49">
        <v>0</v>
      </c>
      <c r="AC25" s="49">
        <v>17.923462809416325</v>
      </c>
      <c r="AD25" s="49">
        <v>832.8819992368466</v>
      </c>
      <c r="AE25" s="49">
        <v>23.86582736675662</v>
      </c>
      <c r="AF25" s="49">
        <v>123.44454193115234</v>
      </c>
      <c r="AG25" s="49">
        <v>979.1101469349054</v>
      </c>
      <c r="AH25" s="49">
        <v>654.1181395768792</v>
      </c>
      <c r="AI25" s="48">
        <v>1.4968399249228121</v>
      </c>
      <c r="AJ25" s="49">
        <v>396.7718200683594</v>
      </c>
      <c r="AK25" s="49">
        <v>0</v>
      </c>
      <c r="AL25" s="49">
        <v>0</v>
      </c>
      <c r="AM25" s="49">
        <v>1375.8819580078125</v>
      </c>
      <c r="AN25" s="49">
        <v>654.1181395768792</v>
      </c>
      <c r="AO25" s="48">
        <v>2.103415012359619</v>
      </c>
    </row>
    <row r="26" spans="1:41" ht="12.75" customHeight="1">
      <c r="A26" t="s">
        <v>174</v>
      </c>
      <c r="B26" t="s">
        <v>174</v>
      </c>
      <c r="C26" s="49">
        <v>45</v>
      </c>
      <c r="D26" s="49">
        <v>441.6811706046374</v>
      </c>
      <c r="E26" s="49">
        <v>168.83</v>
      </c>
      <c r="F26" s="49">
        <v>0</v>
      </c>
      <c r="G26" s="49">
        <v>0</v>
      </c>
      <c r="H26" s="49" t="s">
        <v>169</v>
      </c>
      <c r="I26" s="49">
        <v>0.21</v>
      </c>
      <c r="J26" s="49">
        <v>0.4009999930858612</v>
      </c>
      <c r="K26" s="49">
        <v>475.35935986324097</v>
      </c>
      <c r="L26" s="60">
        <v>0.1036198630237329</v>
      </c>
      <c r="M26" s="49">
        <v>0.2584036528936948</v>
      </c>
      <c r="N26" s="49"/>
      <c r="O26" s="49"/>
      <c r="P26" s="49">
        <v>168.83113602548477</v>
      </c>
      <c r="Q26" s="49">
        <v>0</v>
      </c>
      <c r="R26" s="49">
        <v>0</v>
      </c>
      <c r="S26" s="49">
        <v>0</v>
      </c>
      <c r="T26" s="49">
        <v>0</v>
      </c>
      <c r="U26" s="49">
        <v>0</v>
      </c>
      <c r="V26" s="49">
        <v>168.83113602548477</v>
      </c>
      <c r="W26" s="49">
        <v>0</v>
      </c>
      <c r="X26" s="49">
        <v>168.83113602548477</v>
      </c>
      <c r="Y26" s="49">
        <v>0</v>
      </c>
      <c r="Z26" s="49">
        <v>0</v>
      </c>
      <c r="AA26" s="49">
        <v>19.256175994873047</v>
      </c>
      <c r="AB26" s="49">
        <v>0</v>
      </c>
      <c r="AC26" s="49">
        <v>19.256175367624028</v>
      </c>
      <c r="AD26" s="49">
        <v>200.09291557477846</v>
      </c>
      <c r="AE26" s="49">
        <v>5.733564880492394</v>
      </c>
      <c r="AF26" s="49">
        <v>29.656517028808594</v>
      </c>
      <c r="AG26" s="49">
        <v>235.22300282047712</v>
      </c>
      <c r="AH26" s="49">
        <v>168.83113602548477</v>
      </c>
      <c r="AI26" s="48">
        <v>1.393244210504931</v>
      </c>
      <c r="AJ26" s="49">
        <v>95.32112121582031</v>
      </c>
      <c r="AK26" s="49">
        <v>0</v>
      </c>
      <c r="AL26" s="49">
        <v>0</v>
      </c>
      <c r="AM26" s="49">
        <v>330.54412841796875</v>
      </c>
      <c r="AN26" s="49">
        <v>168.83113602548477</v>
      </c>
      <c r="AO26" s="48">
        <v>1.9578386545181274</v>
      </c>
    </row>
    <row r="27" spans="1:41" ht="12.75" customHeight="1">
      <c r="A27" t="s">
        <v>177</v>
      </c>
      <c r="B27" t="s">
        <v>177</v>
      </c>
      <c r="C27" s="49">
        <v>45</v>
      </c>
      <c r="D27" s="49">
        <v>653.7163712277197</v>
      </c>
      <c r="E27" s="49">
        <v>280.81</v>
      </c>
      <c r="F27" s="49">
        <v>0</v>
      </c>
      <c r="G27" s="49">
        <v>0</v>
      </c>
      <c r="H27" s="49" t="s">
        <v>169</v>
      </c>
      <c r="I27" s="49">
        <v>0.21</v>
      </c>
      <c r="J27" s="49">
        <v>0.4009999930858612</v>
      </c>
      <c r="K27" s="49">
        <v>703.5622445338333</v>
      </c>
      <c r="L27" s="60">
        <v>0.15336402217522296</v>
      </c>
      <c r="M27" s="49">
        <v>0.38245392723082916</v>
      </c>
      <c r="N27" s="49"/>
      <c r="O27" s="49"/>
      <c r="P27" s="49">
        <v>280.8096599196591</v>
      </c>
      <c r="Q27" s="49">
        <v>0</v>
      </c>
      <c r="R27" s="49">
        <v>0</v>
      </c>
      <c r="S27" s="49">
        <v>0</v>
      </c>
      <c r="T27" s="49">
        <v>0</v>
      </c>
      <c r="U27" s="49">
        <v>0</v>
      </c>
      <c r="V27" s="49">
        <v>280.8096599196591</v>
      </c>
      <c r="W27" s="49">
        <v>0</v>
      </c>
      <c r="X27" s="49">
        <v>280.8096599196591</v>
      </c>
      <c r="Y27" s="49">
        <v>0</v>
      </c>
      <c r="Z27" s="49">
        <v>0</v>
      </c>
      <c r="AA27" s="49">
        <v>21.639591217041016</v>
      </c>
      <c r="AB27" s="49">
        <v>0</v>
      </c>
      <c r="AC27" s="49">
        <v>21.639591449294212</v>
      </c>
      <c r="AD27" s="49">
        <v>296.1503079220124</v>
      </c>
      <c r="AE27" s="49">
        <v>8.486042596616025</v>
      </c>
      <c r="AF27" s="49">
        <v>43.89353942871094</v>
      </c>
      <c r="AG27" s="49">
        <v>348.14508122253903</v>
      </c>
      <c r="AH27" s="49">
        <v>280.8096599196591</v>
      </c>
      <c r="AI27" s="48">
        <v>1.2397902597871628</v>
      </c>
      <c r="AJ27" s="49">
        <v>141.0813446044922</v>
      </c>
      <c r="AK27" s="49">
        <v>0</v>
      </c>
      <c r="AL27" s="49">
        <v>0</v>
      </c>
      <c r="AM27" s="49">
        <v>489.2264404296875</v>
      </c>
      <c r="AN27" s="49">
        <v>280.8096599196591</v>
      </c>
      <c r="AO27" s="48">
        <v>1.742199420928955</v>
      </c>
    </row>
    <row r="28" spans="1:41" ht="12.75" customHeight="1">
      <c r="A28" t="s">
        <v>176</v>
      </c>
      <c r="B28" t="s">
        <v>176</v>
      </c>
      <c r="C28" s="49">
        <v>45</v>
      </c>
      <c r="D28" s="49">
        <v>370.04670459232875</v>
      </c>
      <c r="E28" s="49">
        <v>212.5</v>
      </c>
      <c r="F28" s="49">
        <v>0</v>
      </c>
      <c r="G28" s="49">
        <v>0</v>
      </c>
      <c r="H28" s="49" t="s">
        <v>169</v>
      </c>
      <c r="I28" s="49">
        <v>0.21</v>
      </c>
      <c r="J28" s="49">
        <v>0.4009999930858612</v>
      </c>
      <c r="K28" s="49">
        <v>398.2627658174938</v>
      </c>
      <c r="L28" s="60">
        <v>0.08681418044094964</v>
      </c>
      <c r="M28" s="49">
        <v>0.21649421929631105</v>
      </c>
      <c r="N28" s="49"/>
      <c r="O28" s="49"/>
      <c r="P28" s="49">
        <v>212.50004534363345</v>
      </c>
      <c r="Q28" s="49">
        <v>0</v>
      </c>
      <c r="R28" s="49">
        <v>0</v>
      </c>
      <c r="S28" s="49">
        <v>0</v>
      </c>
      <c r="T28" s="49">
        <v>0</v>
      </c>
      <c r="U28" s="49">
        <v>0</v>
      </c>
      <c r="V28" s="49">
        <v>212.50004534363345</v>
      </c>
      <c r="W28" s="49">
        <v>0</v>
      </c>
      <c r="X28" s="49">
        <v>212.50004534363345</v>
      </c>
      <c r="Y28" s="49">
        <v>0</v>
      </c>
      <c r="Z28" s="49">
        <v>0</v>
      </c>
      <c r="AA28" s="49">
        <v>28.928695678710938</v>
      </c>
      <c r="AB28" s="49">
        <v>0</v>
      </c>
      <c r="AC28" s="49">
        <v>28.928696215142942</v>
      </c>
      <c r="AD28" s="49">
        <v>167.64066242478935</v>
      </c>
      <c r="AE28" s="49">
        <v>4.803661398306944</v>
      </c>
      <c r="AF28" s="49">
        <v>24.846649169921875</v>
      </c>
      <c r="AG28" s="49">
        <v>197.07314580254518</v>
      </c>
      <c r="AH28" s="49">
        <v>212.50004534363345</v>
      </c>
      <c r="AI28" s="69">
        <v>0.9274028411799091</v>
      </c>
      <c r="AJ28" s="49">
        <v>79.86138916015625</v>
      </c>
      <c r="AK28" s="49">
        <v>0</v>
      </c>
      <c r="AL28" s="49">
        <v>0</v>
      </c>
      <c r="AM28" s="49">
        <v>276.9345397949219</v>
      </c>
      <c r="AN28" s="49">
        <v>212.50004534363345</v>
      </c>
      <c r="AO28" s="48">
        <v>1.3032211065292358</v>
      </c>
    </row>
    <row r="29" spans="1:41" ht="12.75" customHeight="1">
      <c r="A29" t="s">
        <v>488</v>
      </c>
      <c r="B29" t="s">
        <v>488</v>
      </c>
      <c r="C29" s="49">
        <v>45</v>
      </c>
      <c r="D29" s="49">
        <v>2502.0590485712682</v>
      </c>
      <c r="E29" s="49">
        <v>1505.16</v>
      </c>
      <c r="F29" s="49">
        <v>0</v>
      </c>
      <c r="G29" s="49">
        <v>0</v>
      </c>
      <c r="H29" s="49" t="s">
        <v>169</v>
      </c>
      <c r="I29" s="49">
        <v>0.21</v>
      </c>
      <c r="J29" s="49">
        <v>0.4009999930858612</v>
      </c>
      <c r="K29" s="49">
        <v>2692.8410510248273</v>
      </c>
      <c r="L29" s="60">
        <v>0.5869913257459659</v>
      </c>
      <c r="M29" s="49">
        <v>1.463818792685816</v>
      </c>
      <c r="N29" s="49"/>
      <c r="O29" s="49"/>
      <c r="P29" s="49">
        <v>1505.1626211742475</v>
      </c>
      <c r="Q29" s="49">
        <v>0</v>
      </c>
      <c r="R29" s="49">
        <v>0</v>
      </c>
      <c r="S29" s="49">
        <v>0</v>
      </c>
      <c r="T29" s="49">
        <v>0</v>
      </c>
      <c r="U29" s="49">
        <v>0</v>
      </c>
      <c r="V29" s="49">
        <v>1505.1626211742475</v>
      </c>
      <c r="W29" s="49">
        <v>0</v>
      </c>
      <c r="X29" s="49">
        <v>1505.1626211742475</v>
      </c>
      <c r="Y29" s="49">
        <v>0</v>
      </c>
      <c r="Z29" s="49">
        <v>0</v>
      </c>
      <c r="AA29" s="49">
        <v>30.30485725402832</v>
      </c>
      <c r="AB29" s="49">
        <v>0</v>
      </c>
      <c r="AC29" s="49">
        <v>30.304857391911685</v>
      </c>
      <c r="AD29" s="49">
        <v>1133.4970184115552</v>
      </c>
      <c r="AE29" s="49">
        <v>32.47980408620982</v>
      </c>
      <c r="AF29" s="49">
        <v>167.99981689453125</v>
      </c>
      <c r="AG29" s="49">
        <v>1332.5038077573051</v>
      </c>
      <c r="AH29" s="49">
        <v>1505.1626211742475</v>
      </c>
      <c r="AI29" s="69">
        <v>0.8852889309181468</v>
      </c>
      <c r="AJ29" s="49">
        <v>539.9801025390625</v>
      </c>
      <c r="AK29" s="49">
        <v>0</v>
      </c>
      <c r="AL29" s="49">
        <v>0</v>
      </c>
      <c r="AM29" s="49">
        <v>1872.48388671875</v>
      </c>
      <c r="AN29" s="49">
        <v>1505.1626211742475</v>
      </c>
      <c r="AO29" s="48">
        <v>1.2440409660339355</v>
      </c>
    </row>
    <row r="30" spans="1:41" ht="12.75" customHeight="1">
      <c r="A30" t="s">
        <v>179</v>
      </c>
      <c r="B30" t="s">
        <v>179</v>
      </c>
      <c r="C30" s="49">
        <v>45</v>
      </c>
      <c r="D30" s="49">
        <v>114.46932317609026</v>
      </c>
      <c r="E30" s="49">
        <v>110.5</v>
      </c>
      <c r="F30" s="49">
        <v>0</v>
      </c>
      <c r="G30" s="49">
        <v>0</v>
      </c>
      <c r="H30" s="49" t="s">
        <v>169</v>
      </c>
      <c r="I30" s="49">
        <v>0.21</v>
      </c>
      <c r="J30" s="49">
        <v>0.4009999930858612</v>
      </c>
      <c r="K30" s="49">
        <v>123.19760906826713</v>
      </c>
      <c r="L30" s="60">
        <v>0.02685488170502813</v>
      </c>
      <c r="M30" s="49">
        <v>0.06696978096774686</v>
      </c>
      <c r="N30" s="49"/>
      <c r="O30" s="49"/>
      <c r="P30" s="49">
        <v>110.5000235786894</v>
      </c>
      <c r="Q30" s="49">
        <v>0</v>
      </c>
      <c r="R30" s="49">
        <v>0</v>
      </c>
      <c r="S30" s="49">
        <v>0</v>
      </c>
      <c r="T30" s="49">
        <v>0</v>
      </c>
      <c r="U30" s="49">
        <v>0</v>
      </c>
      <c r="V30" s="49">
        <v>110.5000235786894</v>
      </c>
      <c r="W30" s="49">
        <v>0</v>
      </c>
      <c r="X30" s="49">
        <v>110.5000235786894</v>
      </c>
      <c r="Y30" s="49">
        <v>0</v>
      </c>
      <c r="Z30" s="49">
        <v>0</v>
      </c>
      <c r="AA30" s="49">
        <v>48.62948226928711</v>
      </c>
      <c r="AB30" s="49">
        <v>0</v>
      </c>
      <c r="AC30" s="49">
        <v>48.62948055324182</v>
      </c>
      <c r="AD30" s="49">
        <v>51.8575437273463</v>
      </c>
      <c r="AE30" s="49">
        <v>1.4859526168111328</v>
      </c>
      <c r="AF30" s="49">
        <v>7.685999393463135</v>
      </c>
      <c r="AG30" s="49">
        <v>60.96211361867895</v>
      </c>
      <c r="AH30" s="49">
        <v>110.5000235786894</v>
      </c>
      <c r="AI30" s="69">
        <v>0.5516932181943521</v>
      </c>
      <c r="AJ30" s="49">
        <v>24.704116821289062</v>
      </c>
      <c r="AK30" s="49">
        <v>0</v>
      </c>
      <c r="AL30" s="49">
        <v>0</v>
      </c>
      <c r="AM30" s="49">
        <v>85.66622924804688</v>
      </c>
      <c r="AN30" s="49">
        <v>110.5000235786894</v>
      </c>
      <c r="AO30" s="69">
        <v>0.7752598524093628</v>
      </c>
    </row>
    <row r="31" spans="1:41" ht="12.75" customHeight="1">
      <c r="A31" t="s">
        <v>490</v>
      </c>
      <c r="B31" t="s">
        <v>490</v>
      </c>
      <c r="C31" s="49">
        <v>45</v>
      </c>
      <c r="D31" s="49">
        <v>412.0895634339231</v>
      </c>
      <c r="E31" s="49">
        <v>425</v>
      </c>
      <c r="F31" s="49">
        <v>0</v>
      </c>
      <c r="G31" s="49">
        <v>0</v>
      </c>
      <c r="H31" s="49" t="s">
        <v>169</v>
      </c>
      <c r="I31" s="49">
        <v>0.21</v>
      </c>
      <c r="J31" s="49">
        <v>0.4009999930858612</v>
      </c>
      <c r="K31" s="49">
        <v>443.51139264575977</v>
      </c>
      <c r="L31" s="60">
        <v>0.09667757413810087</v>
      </c>
      <c r="M31" s="49">
        <v>0.24109121148388768</v>
      </c>
      <c r="N31" s="49"/>
      <c r="O31" s="49"/>
      <c r="P31" s="49">
        <v>425.0000906872669</v>
      </c>
      <c r="Q31" s="49">
        <v>0</v>
      </c>
      <c r="R31" s="49">
        <v>0</v>
      </c>
      <c r="S31" s="49">
        <v>0</v>
      </c>
      <c r="T31" s="49">
        <v>0</v>
      </c>
      <c r="U31" s="49">
        <v>0</v>
      </c>
      <c r="V31" s="49">
        <v>425.0000906872669</v>
      </c>
      <c r="W31" s="49">
        <v>0</v>
      </c>
      <c r="X31" s="49">
        <v>425.0000906872669</v>
      </c>
      <c r="Y31" s="49">
        <v>0</v>
      </c>
      <c r="Z31" s="49">
        <v>0</v>
      </c>
      <c r="AA31" s="49">
        <v>51.95457458496094</v>
      </c>
      <c r="AB31" s="49">
        <v>0</v>
      </c>
      <c r="AC31" s="49">
        <v>51.95457324064319</v>
      </c>
      <c r="AD31" s="49">
        <v>186.68715741844608</v>
      </c>
      <c r="AE31" s="49">
        <v>5.349429420520056</v>
      </c>
      <c r="AF31" s="49">
        <v>27.669597625732422</v>
      </c>
      <c r="AG31" s="49">
        <v>219.46360883650874</v>
      </c>
      <c r="AH31" s="49">
        <v>425.0000906872669</v>
      </c>
      <c r="AI31" s="69">
        <v>0.5163848517811244</v>
      </c>
      <c r="AJ31" s="49">
        <v>88.934814453125</v>
      </c>
      <c r="AK31" s="49">
        <v>0</v>
      </c>
      <c r="AL31" s="49">
        <v>0</v>
      </c>
      <c r="AM31" s="49">
        <v>308.3984375</v>
      </c>
      <c r="AN31" s="49">
        <v>425.0000906872669</v>
      </c>
      <c r="AO31" s="69">
        <v>0.7256432175636292</v>
      </c>
    </row>
    <row r="32" spans="1:41" ht="12.75" customHeight="1">
      <c r="A32" t="s">
        <v>178</v>
      </c>
      <c r="B32" t="s">
        <v>178</v>
      </c>
      <c r="C32" s="49">
        <v>45</v>
      </c>
      <c r="D32" s="49">
        <v>142.96605845297063</v>
      </c>
      <c r="E32" s="49">
        <v>154.67</v>
      </c>
      <c r="F32" s="49">
        <v>0</v>
      </c>
      <c r="G32" s="49">
        <v>0</v>
      </c>
      <c r="H32" s="49" t="s">
        <v>169</v>
      </c>
      <c r="I32" s="49">
        <v>0.21</v>
      </c>
      <c r="J32" s="49">
        <v>0.4009999930858612</v>
      </c>
      <c r="K32" s="49">
        <v>153.86722041000962</v>
      </c>
      <c r="L32" s="60">
        <v>0.03354031002421969</v>
      </c>
      <c r="M32" s="49">
        <v>0.08364167232551079</v>
      </c>
      <c r="N32" s="49"/>
      <c r="O32" s="49"/>
      <c r="P32" s="49">
        <v>154.67313300442518</v>
      </c>
      <c r="Q32" s="49">
        <v>0</v>
      </c>
      <c r="R32" s="49">
        <v>0</v>
      </c>
      <c r="S32" s="49">
        <v>0</v>
      </c>
      <c r="T32" s="49">
        <v>0</v>
      </c>
      <c r="U32" s="49">
        <v>0</v>
      </c>
      <c r="V32" s="49">
        <v>154.67313300442518</v>
      </c>
      <c r="W32" s="49">
        <v>0</v>
      </c>
      <c r="X32" s="49">
        <v>154.67313300442518</v>
      </c>
      <c r="Y32" s="49">
        <v>0</v>
      </c>
      <c r="Z32" s="49">
        <v>0</v>
      </c>
      <c r="AA32" s="49">
        <v>54.50148391723633</v>
      </c>
      <c r="AB32" s="49">
        <v>0</v>
      </c>
      <c r="AC32" s="49">
        <v>54.50148221673498</v>
      </c>
      <c r="AD32" s="49">
        <v>64.76729679222777</v>
      </c>
      <c r="AE32" s="49">
        <v>1.8558752928639537</v>
      </c>
      <c r="AF32" s="49">
        <v>9.599401473999023</v>
      </c>
      <c r="AG32" s="49">
        <v>76.13841689870347</v>
      </c>
      <c r="AH32" s="49">
        <v>154.67313300442518</v>
      </c>
      <c r="AI32" s="69">
        <v>0.49225366694114325</v>
      </c>
      <c r="AJ32" s="49">
        <v>30.854116439819336</v>
      </c>
      <c r="AK32" s="49">
        <v>0</v>
      </c>
      <c r="AL32" s="49">
        <v>0</v>
      </c>
      <c r="AM32" s="49">
        <v>106.9925308227539</v>
      </c>
      <c r="AN32" s="49">
        <v>154.67313300442518</v>
      </c>
      <c r="AO32" s="69">
        <v>0.6917331218719482</v>
      </c>
    </row>
    <row r="33" spans="1:41" ht="12.75" customHeight="1">
      <c r="A33" t="s">
        <v>500</v>
      </c>
      <c r="B33" t="s">
        <v>489</v>
      </c>
      <c r="C33" s="49">
        <v>45</v>
      </c>
      <c r="D33" s="49">
        <v>290.86014723118114</v>
      </c>
      <c r="E33" s="49">
        <v>451.2</v>
      </c>
      <c r="F33" s="49">
        <v>0</v>
      </c>
      <c r="G33" s="49">
        <v>0</v>
      </c>
      <c r="H33" s="49" t="s">
        <v>169</v>
      </c>
      <c r="I33" s="49">
        <v>0.21</v>
      </c>
      <c r="J33" s="49">
        <v>0.4009999930858612</v>
      </c>
      <c r="K33" s="49">
        <v>313.0382334575587</v>
      </c>
      <c r="L33" s="60">
        <v>0.068236752257062</v>
      </c>
      <c r="M33" s="49">
        <v>0.17016646741550268</v>
      </c>
      <c r="N33" s="49"/>
      <c r="O33" s="49"/>
      <c r="P33" s="49">
        <v>451.20009627787016</v>
      </c>
      <c r="Q33" s="49">
        <v>0</v>
      </c>
      <c r="R33" s="49">
        <v>0</v>
      </c>
      <c r="S33" s="49">
        <v>0</v>
      </c>
      <c r="T33" s="49">
        <v>0</v>
      </c>
      <c r="U33" s="49">
        <v>0</v>
      </c>
      <c r="V33" s="49">
        <v>451.20009627787016</v>
      </c>
      <c r="W33" s="49">
        <v>0</v>
      </c>
      <c r="X33" s="49">
        <v>451.20009627787016</v>
      </c>
      <c r="Y33" s="49">
        <v>0</v>
      </c>
      <c r="Z33" s="49">
        <v>0</v>
      </c>
      <c r="AA33" s="49">
        <v>78.1468276977539</v>
      </c>
      <c r="AB33" s="49">
        <v>0</v>
      </c>
      <c r="AC33" s="49">
        <v>78.14682517398525</v>
      </c>
      <c r="AD33" s="49">
        <v>131.76711790616974</v>
      </c>
      <c r="AE33" s="49">
        <v>3.7757224810299346</v>
      </c>
      <c r="AF33" s="49">
        <v>19.529695510864258</v>
      </c>
      <c r="AG33" s="49">
        <v>154.9013217029214</v>
      </c>
      <c r="AH33" s="49">
        <v>451.20009627787016</v>
      </c>
      <c r="AI33" s="69">
        <v>0.343309593638752</v>
      </c>
      <c r="AJ33" s="49">
        <v>62.771785736083984</v>
      </c>
      <c r="AK33" s="49">
        <v>0</v>
      </c>
      <c r="AL33" s="49">
        <v>0</v>
      </c>
      <c r="AM33" s="49">
        <v>217.67311096191406</v>
      </c>
      <c r="AN33" s="49">
        <v>451.20009627787016</v>
      </c>
      <c r="AO33" s="69">
        <v>0.48243144154548645</v>
      </c>
    </row>
    <row r="34" spans="1:41" ht="12.75" customHeight="1">
      <c r="A34" t="s">
        <v>180</v>
      </c>
      <c r="B34" t="s">
        <v>180</v>
      </c>
      <c r="C34" s="49">
        <v>45</v>
      </c>
      <c r="D34" s="49">
        <v>364.5499912100754</v>
      </c>
      <c r="E34" s="49">
        <v>600.47</v>
      </c>
      <c r="F34" s="49">
        <v>0</v>
      </c>
      <c r="G34" s="49">
        <v>0</v>
      </c>
      <c r="H34" s="49" t="s">
        <v>169</v>
      </c>
      <c r="I34" s="49">
        <v>0.21</v>
      </c>
      <c r="J34" s="49">
        <v>0.4009999930858612</v>
      </c>
      <c r="K34" s="49">
        <v>392.3469280398436</v>
      </c>
      <c r="L34" s="60">
        <v>0.08552463330682548</v>
      </c>
      <c r="M34" s="49">
        <v>0.21327839097621418</v>
      </c>
      <c r="N34" s="49"/>
      <c r="O34" s="49"/>
      <c r="P34" s="49">
        <v>600.4689281291161</v>
      </c>
      <c r="Q34" s="49">
        <v>0</v>
      </c>
      <c r="R34" s="49">
        <v>0</v>
      </c>
      <c r="S34" s="49">
        <v>0</v>
      </c>
      <c r="T34" s="49">
        <v>0</v>
      </c>
      <c r="U34" s="49">
        <v>0</v>
      </c>
      <c r="V34" s="49">
        <v>600.4689281291161</v>
      </c>
      <c r="W34" s="49">
        <v>0</v>
      </c>
      <c r="X34" s="49">
        <v>600.4689281291161</v>
      </c>
      <c r="Y34" s="49">
        <v>0</v>
      </c>
      <c r="Z34" s="49">
        <v>0</v>
      </c>
      <c r="AA34" s="49">
        <v>82.97740173339844</v>
      </c>
      <c r="AB34" s="49">
        <v>0</v>
      </c>
      <c r="AC34" s="49">
        <v>82.97739989973232</v>
      </c>
      <c r="AD34" s="49">
        <v>165.15051007070917</v>
      </c>
      <c r="AE34" s="49">
        <v>4.732307297421281</v>
      </c>
      <c r="AF34" s="49">
        <v>24.477571487426758</v>
      </c>
      <c r="AG34" s="49">
        <v>194.14579729350095</v>
      </c>
      <c r="AH34" s="49">
        <v>600.4689281291161</v>
      </c>
      <c r="AI34" s="69">
        <v>0.3233236362427644</v>
      </c>
      <c r="AJ34" s="49">
        <v>78.67509460449219</v>
      </c>
      <c r="AK34" s="49">
        <v>0</v>
      </c>
      <c r="AL34" s="49">
        <v>0</v>
      </c>
      <c r="AM34" s="49">
        <v>272.8208923339844</v>
      </c>
      <c r="AN34" s="49">
        <v>600.4689281291161</v>
      </c>
      <c r="AO34" s="69">
        <v>0.4543463885784149</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137</v>
      </c>
      <c r="B37" s="71"/>
      <c r="C37" s="72" t="s">
        <v>106</v>
      </c>
      <c r="D37" s="63"/>
      <c r="E37" s="63"/>
      <c r="F37" s="63"/>
      <c r="G37" s="63"/>
      <c r="H37" s="63"/>
      <c r="I37" s="63"/>
      <c r="J37" s="64"/>
      <c r="K37" s="72" t="s">
        <v>50</v>
      </c>
      <c r="L37" s="63"/>
      <c r="M37" s="64"/>
      <c r="N37" s="72" t="s">
        <v>107</v>
      </c>
      <c r="O37" s="63"/>
      <c r="P37" s="63"/>
      <c r="Q37" s="63"/>
      <c r="R37" s="73" t="s">
        <v>108</v>
      </c>
      <c r="S37" s="72" t="s">
        <v>84</v>
      </c>
      <c r="T37" s="63"/>
      <c r="U37" s="63"/>
      <c r="V37" s="63"/>
      <c r="W37" s="63"/>
      <c r="X37" s="64"/>
      <c r="Y37" s="72" t="s">
        <v>85</v>
      </c>
      <c r="Z37" s="63"/>
      <c r="AA37" s="63"/>
      <c r="AB37" s="63"/>
      <c r="AC37" s="63"/>
      <c r="AD37" s="64"/>
      <c r="AE37" s="49"/>
      <c r="AF37" s="49"/>
      <c r="AG37" s="49"/>
      <c r="AH37" s="49"/>
      <c r="AI37" s="49"/>
      <c r="AJ37" s="49"/>
      <c r="AK37" s="49"/>
      <c r="AL37" s="49"/>
      <c r="AM37" s="49"/>
      <c r="AN37" s="49"/>
      <c r="AO37" s="49"/>
    </row>
    <row r="38" spans="1:41" ht="51">
      <c r="A38" s="57"/>
      <c r="B38" s="58" t="s">
        <v>56</v>
      </c>
      <c r="C38" s="59" t="s">
        <v>109</v>
      </c>
      <c r="D38" s="59" t="s">
        <v>87</v>
      </c>
      <c r="E38" s="59" t="s">
        <v>88</v>
      </c>
      <c r="F38" s="59" t="s">
        <v>89</v>
      </c>
      <c r="G38" s="59" t="s">
        <v>90</v>
      </c>
      <c r="H38" s="59" t="s">
        <v>91</v>
      </c>
      <c r="I38" s="59" t="s">
        <v>110</v>
      </c>
      <c r="J38" s="59" t="s">
        <v>111</v>
      </c>
      <c r="K38" s="59" t="s">
        <v>94</v>
      </c>
      <c r="L38" s="59" t="s">
        <v>95</v>
      </c>
      <c r="M38" s="59" t="s">
        <v>96</v>
      </c>
      <c r="N38" s="59" t="s">
        <v>51</v>
      </c>
      <c r="O38" s="59" t="s">
        <v>112</v>
      </c>
      <c r="P38" s="59" t="s">
        <v>113</v>
      </c>
      <c r="Q38" s="59" t="s">
        <v>114</v>
      </c>
      <c r="R38" s="59" t="s">
        <v>115</v>
      </c>
      <c r="S38" s="59" t="s">
        <v>97</v>
      </c>
      <c r="T38" s="59" t="s">
        <v>98</v>
      </c>
      <c r="U38" s="59" t="s">
        <v>61</v>
      </c>
      <c r="V38" s="59" t="s">
        <v>99</v>
      </c>
      <c r="W38" s="59" t="s">
        <v>100</v>
      </c>
      <c r="X38" s="59" t="s">
        <v>101</v>
      </c>
      <c r="Y38" s="59" t="s">
        <v>102</v>
      </c>
      <c r="Z38" s="59" t="s">
        <v>59</v>
      </c>
      <c r="AA38" s="59" t="s">
        <v>60</v>
      </c>
      <c r="AB38" s="59" t="s">
        <v>103</v>
      </c>
      <c r="AC38" s="59" t="s">
        <v>104</v>
      </c>
      <c r="AD38" s="59" t="s">
        <v>105</v>
      </c>
      <c r="AE38" s="49"/>
      <c r="AF38" s="49"/>
      <c r="AG38" s="49"/>
      <c r="AH38" s="49"/>
      <c r="AI38" s="49"/>
      <c r="AJ38" s="49"/>
      <c r="AK38" s="49"/>
      <c r="AL38" s="49"/>
      <c r="AM38" s="49"/>
      <c r="AN38" s="49"/>
      <c r="AO38" s="49"/>
    </row>
    <row r="39" spans="1:41" ht="12.75" customHeight="1">
      <c r="A39"/>
      <c r="B39" t="s">
        <v>172</v>
      </c>
      <c r="C39" s="49">
        <v>45</v>
      </c>
      <c r="D39" s="49">
        <v>3396.797458263016</v>
      </c>
      <c r="E39" s="49">
        <v>732.69</v>
      </c>
      <c r="F39" s="49">
        <v>0</v>
      </c>
      <c r="G39" s="49">
        <v>0</v>
      </c>
      <c r="H39" s="49"/>
      <c r="I39" s="49">
        <v>0.21</v>
      </c>
      <c r="J39" s="49">
        <v>0.4009999930858612</v>
      </c>
      <c r="K39" s="49">
        <v>3655.8032644555706</v>
      </c>
      <c r="L39" s="49">
        <v>0.7968999150739033</v>
      </c>
      <c r="M39" s="49">
        <v>1.9872815608978271</v>
      </c>
      <c r="N39" s="49">
        <v>732.6938563435039</v>
      </c>
      <c r="O39" s="49">
        <v>0</v>
      </c>
      <c r="P39" s="49">
        <v>0</v>
      </c>
      <c r="Q39" s="49">
        <v>732.69384765625</v>
      </c>
      <c r="R39" s="49">
        <v>10.866239777019695</v>
      </c>
      <c r="S39" s="49">
        <v>1538.8365007962766</v>
      </c>
      <c r="T39" s="49">
        <v>44.094608306884766</v>
      </c>
      <c r="U39" s="49">
        <v>228.07669067382812</v>
      </c>
      <c r="V39" s="49">
        <v>1809.0082832189878</v>
      </c>
      <c r="W39" s="49">
        <v>732.6938563435039</v>
      </c>
      <c r="X39" s="48">
        <v>2.4689824645818823</v>
      </c>
      <c r="Y39" s="60">
        <v>733.0774536132812</v>
      </c>
      <c r="Z39" s="60">
        <v>0</v>
      </c>
      <c r="AA39" s="60">
        <v>0</v>
      </c>
      <c r="AB39" s="60">
        <v>2542.085693359375</v>
      </c>
      <c r="AC39" s="60">
        <v>732.69384765625</v>
      </c>
      <c r="AD39" s="48">
        <v>3.469506025314331</v>
      </c>
      <c r="AE39" s="60"/>
      <c r="AF39" s="60"/>
      <c r="AG39" s="60"/>
      <c r="AH39" s="60"/>
      <c r="AI39" s="60"/>
      <c r="AJ39" s="60"/>
      <c r="AK39" s="60"/>
      <c r="AL39" s="49"/>
      <c r="AM39" s="49"/>
      <c r="AN39" s="49"/>
      <c r="AO39" s="49"/>
    </row>
    <row r="40" spans="1:41" ht="12.75" customHeight="1">
      <c r="A40"/>
      <c r="B40" t="s">
        <v>173</v>
      </c>
      <c r="C40" s="49">
        <v>45</v>
      </c>
      <c r="D40" s="49">
        <v>1657.3455141747127</v>
      </c>
      <c r="E40" s="49">
        <v>510</v>
      </c>
      <c r="F40" s="49">
        <v>0</v>
      </c>
      <c r="G40" s="49">
        <v>0</v>
      </c>
      <c r="H40" s="49"/>
      <c r="I40" s="49">
        <v>0.21</v>
      </c>
      <c r="J40" s="49">
        <v>0.4009999930858612</v>
      </c>
      <c r="K40" s="49">
        <v>1783.7181096305344</v>
      </c>
      <c r="L40" s="49">
        <v>0.38881873756738955</v>
      </c>
      <c r="M40" s="49">
        <v>0.969622790813446</v>
      </c>
      <c r="N40" s="49">
        <v>510.00010882472026</v>
      </c>
      <c r="O40" s="49">
        <v>0</v>
      </c>
      <c r="P40" s="49">
        <v>0</v>
      </c>
      <c r="Q40" s="49">
        <v>510.0001220703125</v>
      </c>
      <c r="R40" s="49">
        <v>15.50185249923783</v>
      </c>
      <c r="S40" s="49">
        <v>750.8200895048889</v>
      </c>
      <c r="T40" s="49">
        <v>21.51438331604004</v>
      </c>
      <c r="U40" s="49">
        <v>111.28185272216797</v>
      </c>
      <c r="V40" s="49">
        <v>882.6407327602021</v>
      </c>
      <c r="W40" s="49">
        <v>510.00010882472026</v>
      </c>
      <c r="X40" s="48">
        <v>1.7306677341583727</v>
      </c>
      <c r="Y40" s="60">
        <v>357.678955078125</v>
      </c>
      <c r="Z40" s="60">
        <v>0</v>
      </c>
      <c r="AA40" s="60">
        <v>0</v>
      </c>
      <c r="AB40" s="60">
        <v>1240.3197021484375</v>
      </c>
      <c r="AC40" s="60">
        <v>510.0001220703125</v>
      </c>
      <c r="AD40" s="48">
        <v>2.4319987297058105</v>
      </c>
      <c r="AE40" s="60"/>
      <c r="AF40" s="60"/>
      <c r="AG40" s="60"/>
      <c r="AH40" s="60"/>
      <c r="AI40" s="60"/>
      <c r="AJ40" s="60"/>
      <c r="AK40" s="60"/>
      <c r="AL40" s="49"/>
      <c r="AM40" s="49"/>
      <c r="AN40" s="49"/>
      <c r="AO40" s="49"/>
    </row>
    <row r="41" spans="1:41" ht="12.75" customHeight="1">
      <c r="A41"/>
      <c r="B41" t="s">
        <v>171</v>
      </c>
      <c r="C41" s="49">
        <v>45</v>
      </c>
      <c r="D41" s="49">
        <v>1838.4873614427452</v>
      </c>
      <c r="E41" s="49">
        <v>654.12</v>
      </c>
      <c r="F41" s="49">
        <v>0</v>
      </c>
      <c r="G41" s="49">
        <v>0</v>
      </c>
      <c r="H41" s="49"/>
      <c r="I41" s="49">
        <v>0.21</v>
      </c>
      <c r="J41" s="49">
        <v>0.4009999930858612</v>
      </c>
      <c r="K41" s="49">
        <v>1978.6720227527544</v>
      </c>
      <c r="L41" s="49">
        <v>0.4313152138742344</v>
      </c>
      <c r="M41" s="49">
        <v>1.0755990743637085</v>
      </c>
      <c r="N41" s="49">
        <v>654.1181395768792</v>
      </c>
      <c r="O41" s="49">
        <v>0</v>
      </c>
      <c r="P41" s="49">
        <v>0</v>
      </c>
      <c r="Q41" s="49">
        <v>654.1181640625</v>
      </c>
      <c r="R41" s="49">
        <v>17.92346412255568</v>
      </c>
      <c r="S41" s="49">
        <v>832.8819992368466</v>
      </c>
      <c r="T41" s="49">
        <v>23.865827560424805</v>
      </c>
      <c r="U41" s="49">
        <v>123.44454193115234</v>
      </c>
      <c r="V41" s="49">
        <v>979.1101469349054</v>
      </c>
      <c r="W41" s="49">
        <v>654.1181395768792</v>
      </c>
      <c r="X41" s="48">
        <v>1.4968399249228121</v>
      </c>
      <c r="Y41" s="60">
        <v>396.7718200683594</v>
      </c>
      <c r="Z41" s="60">
        <v>0</v>
      </c>
      <c r="AA41" s="60">
        <v>0</v>
      </c>
      <c r="AB41" s="60">
        <v>1375.8819580078125</v>
      </c>
      <c r="AC41" s="60">
        <v>654.1181640625</v>
      </c>
      <c r="AD41" s="48">
        <v>2.103415012359619</v>
      </c>
      <c r="AE41" s="60"/>
      <c r="AF41" s="60"/>
      <c r="AG41" s="60"/>
      <c r="AH41" s="60"/>
      <c r="AI41" s="60"/>
      <c r="AJ41" s="60"/>
      <c r="AK41" s="60"/>
      <c r="AL41" s="49"/>
      <c r="AM41" s="49"/>
      <c r="AN41" s="49"/>
      <c r="AO41" s="49"/>
    </row>
    <row r="42" spans="1:41" ht="12.75" customHeight="1">
      <c r="A42"/>
      <c r="B42" t="s">
        <v>174</v>
      </c>
      <c r="C42" s="49">
        <v>45</v>
      </c>
      <c r="D42" s="49">
        <v>441.6811706046374</v>
      </c>
      <c r="E42" s="49">
        <v>168.83</v>
      </c>
      <c r="F42" s="49">
        <v>0</v>
      </c>
      <c r="G42" s="49">
        <v>0</v>
      </c>
      <c r="H42" s="49"/>
      <c r="I42" s="49">
        <v>0.21</v>
      </c>
      <c r="J42" s="49">
        <v>0.4009999930858612</v>
      </c>
      <c r="K42" s="49">
        <v>475.35935986324097</v>
      </c>
      <c r="L42" s="49">
        <v>0.1036198630237329</v>
      </c>
      <c r="M42" s="49">
        <v>0.2584036588668823</v>
      </c>
      <c r="N42" s="49">
        <v>168.83113602548477</v>
      </c>
      <c r="O42" s="49">
        <v>0</v>
      </c>
      <c r="P42" s="49">
        <v>0</v>
      </c>
      <c r="Q42" s="49">
        <v>168.8311309814453</v>
      </c>
      <c r="R42" s="49">
        <v>19.25617411010321</v>
      </c>
      <c r="S42" s="49">
        <v>200.09291557477846</v>
      </c>
      <c r="T42" s="49">
        <v>5.733564853668213</v>
      </c>
      <c r="U42" s="49">
        <v>29.656517028808594</v>
      </c>
      <c r="V42" s="49">
        <v>235.22300282047712</v>
      </c>
      <c r="W42" s="49">
        <v>168.83113602548477</v>
      </c>
      <c r="X42" s="48">
        <v>1.393244210504931</v>
      </c>
      <c r="Y42" s="60">
        <v>95.32112121582031</v>
      </c>
      <c r="Z42" s="60">
        <v>0</v>
      </c>
      <c r="AA42" s="60">
        <v>0</v>
      </c>
      <c r="AB42" s="60">
        <v>330.54412841796875</v>
      </c>
      <c r="AC42" s="60">
        <v>168.8311309814453</v>
      </c>
      <c r="AD42" s="48">
        <v>1.957838773727417</v>
      </c>
      <c r="AE42" s="60"/>
      <c r="AF42" s="60"/>
      <c r="AG42" s="60"/>
      <c r="AH42" s="60"/>
      <c r="AI42" s="60"/>
      <c r="AJ42" s="60"/>
      <c r="AK42" s="60"/>
      <c r="AL42" s="49"/>
      <c r="AM42" s="49"/>
      <c r="AN42" s="49"/>
      <c r="AO42" s="49"/>
    </row>
    <row r="43" spans="1:41" ht="12.75" customHeight="1">
      <c r="A43"/>
      <c r="B43" t="s">
        <v>177</v>
      </c>
      <c r="C43" s="49">
        <v>45</v>
      </c>
      <c r="D43" s="49">
        <v>653.7163712277197</v>
      </c>
      <c r="E43" s="49">
        <v>280.81</v>
      </c>
      <c r="F43" s="49">
        <v>0</v>
      </c>
      <c r="G43" s="49">
        <v>0</v>
      </c>
      <c r="H43" s="49"/>
      <c r="I43" s="49">
        <v>0.21</v>
      </c>
      <c r="J43" s="49">
        <v>0.4009999930858612</v>
      </c>
      <c r="K43" s="49">
        <v>703.5622445338333</v>
      </c>
      <c r="L43" s="49">
        <v>0.15336402217522296</v>
      </c>
      <c r="M43" s="49">
        <v>0.38245391845703125</v>
      </c>
      <c r="N43" s="49">
        <v>280.8096599196591</v>
      </c>
      <c r="O43" s="49">
        <v>0</v>
      </c>
      <c r="P43" s="49">
        <v>0</v>
      </c>
      <c r="Q43" s="49">
        <v>280.8096618652344</v>
      </c>
      <c r="R43" s="49">
        <v>21.639591166505067</v>
      </c>
      <c r="S43" s="49">
        <v>296.1503079220124</v>
      </c>
      <c r="T43" s="49">
        <v>8.486042976379395</v>
      </c>
      <c r="U43" s="49">
        <v>43.89353942871094</v>
      </c>
      <c r="V43" s="49">
        <v>348.14508122253903</v>
      </c>
      <c r="W43" s="49">
        <v>280.8096599196591</v>
      </c>
      <c r="X43" s="48">
        <v>1.2397902597871628</v>
      </c>
      <c r="Y43" s="60">
        <v>141.0813446044922</v>
      </c>
      <c r="Z43" s="60">
        <v>0</v>
      </c>
      <c r="AA43" s="60">
        <v>0</v>
      </c>
      <c r="AB43" s="60">
        <v>489.2264404296875</v>
      </c>
      <c r="AC43" s="60">
        <v>280.8096618652344</v>
      </c>
      <c r="AD43" s="48">
        <v>1.742199420928955</v>
      </c>
      <c r="AE43" s="60"/>
      <c r="AF43" s="60"/>
      <c r="AG43" s="60"/>
      <c r="AH43" s="60"/>
      <c r="AI43" s="60"/>
      <c r="AJ43" s="60"/>
      <c r="AK43" s="60"/>
      <c r="AL43" s="49"/>
      <c r="AM43" s="49"/>
      <c r="AN43" s="49"/>
      <c r="AO43" s="49"/>
    </row>
    <row r="44" spans="1:41" ht="12.75" customHeight="1">
      <c r="A44"/>
      <c r="B44" t="s">
        <v>176</v>
      </c>
      <c r="C44" s="49">
        <v>45</v>
      </c>
      <c r="D44" s="49">
        <v>370.04670459232875</v>
      </c>
      <c r="E44" s="49">
        <v>212.5</v>
      </c>
      <c r="F44" s="49">
        <v>0</v>
      </c>
      <c r="G44" s="49">
        <v>0</v>
      </c>
      <c r="H44" s="49"/>
      <c r="I44" s="49">
        <v>0.21</v>
      </c>
      <c r="J44" s="49">
        <v>0.4010000228881836</v>
      </c>
      <c r="K44" s="49">
        <v>398.2627658174938</v>
      </c>
      <c r="L44" s="49">
        <v>0.08681418044094964</v>
      </c>
      <c r="M44" s="49">
        <v>0.21649421751499176</v>
      </c>
      <c r="N44" s="49">
        <v>212.50004534363345</v>
      </c>
      <c r="O44" s="49">
        <v>0</v>
      </c>
      <c r="P44" s="49">
        <v>0</v>
      </c>
      <c r="Q44" s="49">
        <v>212.5000457763672</v>
      </c>
      <c r="R44" s="49">
        <v>28.928696423615545</v>
      </c>
      <c r="S44" s="49">
        <v>167.64066242478935</v>
      </c>
      <c r="T44" s="49">
        <v>4.803661346435547</v>
      </c>
      <c r="U44" s="49">
        <v>24.846649169921875</v>
      </c>
      <c r="V44" s="49">
        <v>197.07314580254518</v>
      </c>
      <c r="W44" s="49">
        <v>212.50004534363345</v>
      </c>
      <c r="X44" s="69">
        <v>0.9274028411799091</v>
      </c>
      <c r="Y44" s="60">
        <v>79.86138916015625</v>
      </c>
      <c r="Z44" s="60">
        <v>0</v>
      </c>
      <c r="AA44" s="60">
        <v>0</v>
      </c>
      <c r="AB44" s="60">
        <v>276.9345397949219</v>
      </c>
      <c r="AC44" s="60">
        <v>212.5000457763672</v>
      </c>
      <c r="AD44" s="48">
        <v>1.3032211065292358</v>
      </c>
      <c r="AE44" s="60"/>
      <c r="AF44" s="60"/>
      <c r="AG44" s="60"/>
      <c r="AH44" s="60"/>
      <c r="AI44" s="60"/>
      <c r="AJ44" s="60"/>
      <c r="AK44" s="60"/>
      <c r="AL44" s="49"/>
      <c r="AM44" s="49"/>
      <c r="AN44" s="49"/>
      <c r="AO44" s="49"/>
    </row>
    <row r="45" spans="1:41" ht="12.75" customHeight="1">
      <c r="A45"/>
      <c r="B45" t="s">
        <v>488</v>
      </c>
      <c r="C45" s="49">
        <v>45</v>
      </c>
      <c r="D45" s="49">
        <v>2502.0590485712682</v>
      </c>
      <c r="E45" s="49">
        <v>1505.16</v>
      </c>
      <c r="F45" s="49">
        <v>0</v>
      </c>
      <c r="G45" s="49">
        <v>0</v>
      </c>
      <c r="H45" s="49"/>
      <c r="I45" s="49">
        <v>0.21</v>
      </c>
      <c r="J45" s="49">
        <v>0.4009999930858612</v>
      </c>
      <c r="K45" s="49">
        <v>2692.8410510248273</v>
      </c>
      <c r="L45" s="49">
        <v>0.5869913257459659</v>
      </c>
      <c r="M45" s="49">
        <v>1.4638187885284424</v>
      </c>
      <c r="N45" s="49">
        <v>1505.1626211742475</v>
      </c>
      <c r="O45" s="49">
        <v>0</v>
      </c>
      <c r="P45" s="49">
        <v>0</v>
      </c>
      <c r="Q45" s="49">
        <v>1505.16259765625</v>
      </c>
      <c r="R45" s="49">
        <v>30.304857468939165</v>
      </c>
      <c r="S45" s="49">
        <v>1133.4970184115552</v>
      </c>
      <c r="T45" s="49">
        <v>32.47980499267578</v>
      </c>
      <c r="U45" s="49">
        <v>167.99981689453125</v>
      </c>
      <c r="V45" s="49">
        <v>1332.5038077573051</v>
      </c>
      <c r="W45" s="49">
        <v>1505.1626211742475</v>
      </c>
      <c r="X45" s="69">
        <v>0.8852889309181468</v>
      </c>
      <c r="Y45" s="60">
        <v>539.9801025390625</v>
      </c>
      <c r="Z45" s="60">
        <v>0</v>
      </c>
      <c r="AA45" s="60">
        <v>0</v>
      </c>
      <c r="AB45" s="60">
        <v>1872.48388671875</v>
      </c>
      <c r="AC45" s="60">
        <v>1505.16259765625</v>
      </c>
      <c r="AD45" s="48">
        <v>1.2440409660339355</v>
      </c>
      <c r="AE45" s="60"/>
      <c r="AF45" s="60"/>
      <c r="AG45" s="60"/>
      <c r="AH45" s="60"/>
      <c r="AI45" s="60"/>
      <c r="AJ45" s="60"/>
      <c r="AK45" s="60"/>
      <c r="AL45" s="49"/>
      <c r="AM45" s="49"/>
      <c r="AN45" s="49"/>
      <c r="AO45" s="49"/>
    </row>
    <row r="46" spans="1:41" ht="12.75" customHeight="1">
      <c r="A46"/>
      <c r="B46" t="s">
        <v>179</v>
      </c>
      <c r="C46" s="49">
        <v>45</v>
      </c>
      <c r="D46" s="49">
        <v>114.46932317609026</v>
      </c>
      <c r="E46" s="49">
        <v>110.5</v>
      </c>
      <c r="F46" s="49">
        <v>0</v>
      </c>
      <c r="G46" s="49">
        <v>0</v>
      </c>
      <c r="H46" s="49"/>
      <c r="I46" s="49">
        <v>0.21</v>
      </c>
      <c r="J46" s="49">
        <v>0.4009999930858612</v>
      </c>
      <c r="K46" s="49">
        <v>123.19760906826713</v>
      </c>
      <c r="L46" s="49">
        <v>0.02685488170502813</v>
      </c>
      <c r="M46" s="49">
        <v>0.06696978211402893</v>
      </c>
      <c r="N46" s="49">
        <v>110.5000235786894</v>
      </c>
      <c r="O46" s="49">
        <v>0</v>
      </c>
      <c r="P46" s="49">
        <v>0</v>
      </c>
      <c r="Q46" s="49">
        <v>110.5000228881836</v>
      </c>
      <c r="R46" s="49">
        <v>48.62948049110639</v>
      </c>
      <c r="S46" s="49">
        <v>51.8575437273463</v>
      </c>
      <c r="T46" s="49">
        <v>1.485952615737915</v>
      </c>
      <c r="U46" s="49">
        <v>7.685999393463135</v>
      </c>
      <c r="V46" s="49">
        <v>60.96211361867895</v>
      </c>
      <c r="W46" s="49">
        <v>110.5000235786894</v>
      </c>
      <c r="X46" s="69">
        <v>0.5516932181943521</v>
      </c>
      <c r="Y46" s="60">
        <v>24.704116821289062</v>
      </c>
      <c r="Z46" s="60">
        <v>0</v>
      </c>
      <c r="AA46" s="60">
        <v>0</v>
      </c>
      <c r="AB46" s="60">
        <v>85.66622924804688</v>
      </c>
      <c r="AC46" s="60">
        <v>110.5000228881836</v>
      </c>
      <c r="AD46" s="69">
        <v>0.7752598524093628</v>
      </c>
      <c r="AE46" s="60"/>
      <c r="AF46" s="60"/>
      <c r="AG46" s="60"/>
      <c r="AH46" s="60"/>
      <c r="AI46" s="60"/>
      <c r="AJ46" s="60"/>
      <c r="AK46" s="60"/>
      <c r="AL46" s="49"/>
      <c r="AM46" s="49"/>
      <c r="AN46" s="49"/>
      <c r="AO46" s="49"/>
    </row>
    <row r="47" spans="1:41" ht="12.75" customHeight="1">
      <c r="A47"/>
      <c r="B47" t="s">
        <v>490</v>
      </c>
      <c r="C47" s="49">
        <v>45</v>
      </c>
      <c r="D47" s="49">
        <v>412.0895634339231</v>
      </c>
      <c r="E47" s="49">
        <v>425</v>
      </c>
      <c r="F47" s="49">
        <v>0</v>
      </c>
      <c r="G47" s="49">
        <v>0</v>
      </c>
      <c r="H47" s="49"/>
      <c r="I47" s="49">
        <v>0.21</v>
      </c>
      <c r="J47" s="49">
        <v>0.4009999930858612</v>
      </c>
      <c r="K47" s="49">
        <v>443.51139264575977</v>
      </c>
      <c r="L47" s="49">
        <v>0.09667757413810087</v>
      </c>
      <c r="M47" s="49">
        <v>0.24109120666980743</v>
      </c>
      <c r="N47" s="49">
        <v>425.0000906872669</v>
      </c>
      <c r="O47" s="49">
        <v>0</v>
      </c>
      <c r="P47" s="49">
        <v>0</v>
      </c>
      <c r="Q47" s="49">
        <v>425.0000915527344</v>
      </c>
      <c r="R47" s="49">
        <v>51.95457361505015</v>
      </c>
      <c r="S47" s="49">
        <v>186.68715741844608</v>
      </c>
      <c r="T47" s="49">
        <v>5.349429607391357</v>
      </c>
      <c r="U47" s="49">
        <v>27.669597625732422</v>
      </c>
      <c r="V47" s="49">
        <v>219.46360883650874</v>
      </c>
      <c r="W47" s="49">
        <v>425.0000906872669</v>
      </c>
      <c r="X47" s="69">
        <v>0.5163848517811244</v>
      </c>
      <c r="Y47" s="60">
        <v>88.934814453125</v>
      </c>
      <c r="Z47" s="60">
        <v>0</v>
      </c>
      <c r="AA47" s="60">
        <v>0</v>
      </c>
      <c r="AB47" s="60">
        <v>308.3984375</v>
      </c>
      <c r="AC47" s="60">
        <v>425.0000915527344</v>
      </c>
      <c r="AD47" s="69">
        <v>0.7256432175636292</v>
      </c>
      <c r="AE47" s="60"/>
      <c r="AF47" s="60"/>
      <c r="AG47" s="60"/>
      <c r="AH47" s="60"/>
      <c r="AI47" s="60"/>
      <c r="AJ47" s="60"/>
      <c r="AK47" s="60"/>
      <c r="AL47" s="49"/>
      <c r="AM47" s="49"/>
      <c r="AN47" s="49"/>
      <c r="AO47" s="49"/>
    </row>
    <row r="48" spans="1:41" ht="12.75" customHeight="1">
      <c r="A48"/>
      <c r="B48" t="s">
        <v>178</v>
      </c>
      <c r="C48" s="49">
        <v>45</v>
      </c>
      <c r="D48" s="49">
        <v>142.96605845297063</v>
      </c>
      <c r="E48" s="49">
        <v>154.67</v>
      </c>
      <c r="F48" s="49">
        <v>0</v>
      </c>
      <c r="G48" s="49">
        <v>0</v>
      </c>
      <c r="H48" s="49"/>
      <c r="I48" s="49">
        <v>0.21</v>
      </c>
      <c r="J48" s="49">
        <v>0.4009999930858612</v>
      </c>
      <c r="K48" s="49">
        <v>153.86722041000962</v>
      </c>
      <c r="L48" s="49">
        <v>0.03354031002421969</v>
      </c>
      <c r="M48" s="49">
        <v>0.0836416706442833</v>
      </c>
      <c r="N48" s="49">
        <v>154.67313300442518</v>
      </c>
      <c r="O48" s="49">
        <v>0</v>
      </c>
      <c r="P48" s="49">
        <v>0</v>
      </c>
      <c r="Q48" s="49">
        <v>154.67312622070312</v>
      </c>
      <c r="R48" s="49">
        <v>54.50147939625136</v>
      </c>
      <c r="S48" s="49">
        <v>64.76729679222777</v>
      </c>
      <c r="T48" s="49">
        <v>1.8558752536773682</v>
      </c>
      <c r="U48" s="49">
        <v>9.599401473999023</v>
      </c>
      <c r="V48" s="49">
        <v>76.13841689870347</v>
      </c>
      <c r="W48" s="49">
        <v>154.67313300442518</v>
      </c>
      <c r="X48" s="69">
        <v>0.49225366694114325</v>
      </c>
      <c r="Y48" s="60">
        <v>30.854116439819336</v>
      </c>
      <c r="Z48" s="60">
        <v>0</v>
      </c>
      <c r="AA48" s="60">
        <v>0</v>
      </c>
      <c r="AB48" s="60">
        <v>106.99253845214844</v>
      </c>
      <c r="AC48" s="60">
        <v>154.67312622070312</v>
      </c>
      <c r="AD48" s="69">
        <v>0.6917332410812378</v>
      </c>
      <c r="AE48" s="60"/>
      <c r="AF48" s="60"/>
      <c r="AG48" s="60"/>
      <c r="AH48" s="60"/>
      <c r="AI48" s="60"/>
      <c r="AJ48" s="60"/>
      <c r="AK48" s="60"/>
      <c r="AL48" s="49"/>
      <c r="AM48" s="49"/>
      <c r="AN48" s="49"/>
      <c r="AO48" s="49"/>
    </row>
    <row r="49" spans="1:41" ht="12.75" customHeight="1">
      <c r="A49"/>
      <c r="B49" t="s">
        <v>500</v>
      </c>
      <c r="C49" s="49">
        <v>45</v>
      </c>
      <c r="D49" s="49">
        <v>290.86014723118114</v>
      </c>
      <c r="E49" s="49">
        <v>451.2</v>
      </c>
      <c r="F49" s="49">
        <v>0</v>
      </c>
      <c r="G49" s="49">
        <v>0</v>
      </c>
      <c r="H49" s="49"/>
      <c r="I49" s="49">
        <v>0.21</v>
      </c>
      <c r="J49" s="49">
        <v>0.4009999930858612</v>
      </c>
      <c r="K49" s="49">
        <v>313.0382334575587</v>
      </c>
      <c r="L49" s="49">
        <v>0.068236752257062</v>
      </c>
      <c r="M49" s="49">
        <v>0.17016646265983582</v>
      </c>
      <c r="N49" s="49">
        <v>451.20009627787016</v>
      </c>
      <c r="O49" s="49">
        <v>0</v>
      </c>
      <c r="P49" s="49">
        <v>0</v>
      </c>
      <c r="Q49" s="49">
        <v>451.2001037597656</v>
      </c>
      <c r="R49" s="49">
        <v>78.14682473616391</v>
      </c>
      <c r="S49" s="49">
        <v>131.76711790616974</v>
      </c>
      <c r="T49" s="49">
        <v>3.7757225036621094</v>
      </c>
      <c r="U49" s="49">
        <v>19.529695510864258</v>
      </c>
      <c r="V49" s="49">
        <v>154.9013217029214</v>
      </c>
      <c r="W49" s="49">
        <v>451.20009627787016</v>
      </c>
      <c r="X49" s="69">
        <v>0.343309593638752</v>
      </c>
      <c r="Y49" s="60">
        <v>62.771785736083984</v>
      </c>
      <c r="Z49" s="60">
        <v>0</v>
      </c>
      <c r="AA49" s="60">
        <v>0</v>
      </c>
      <c r="AB49" s="60">
        <v>217.67311096191406</v>
      </c>
      <c r="AC49" s="60">
        <v>451.2001037597656</v>
      </c>
      <c r="AD49" s="69">
        <v>0.48243144154548645</v>
      </c>
      <c r="AE49" s="60"/>
      <c r="AF49" s="60"/>
      <c r="AG49" s="60"/>
      <c r="AH49" s="60"/>
      <c r="AI49" s="60"/>
      <c r="AJ49" s="60"/>
      <c r="AK49" s="60"/>
      <c r="AL49" s="49"/>
      <c r="AM49" s="49"/>
      <c r="AN49" s="49"/>
      <c r="AO49" s="49"/>
    </row>
    <row r="50" spans="1:41" ht="12.75" customHeight="1">
      <c r="A50"/>
      <c r="B50" t="s">
        <v>180</v>
      </c>
      <c r="C50" s="49">
        <v>45</v>
      </c>
      <c r="D50" s="49">
        <v>364.5499912100754</v>
      </c>
      <c r="E50" s="49">
        <v>600.47</v>
      </c>
      <c r="F50" s="49">
        <v>0</v>
      </c>
      <c r="G50" s="49">
        <v>0</v>
      </c>
      <c r="H50" s="49"/>
      <c r="I50" s="49">
        <v>0.21</v>
      </c>
      <c r="J50" s="49">
        <v>0.4009999930858612</v>
      </c>
      <c r="K50" s="49">
        <v>392.3469280398436</v>
      </c>
      <c r="L50" s="49">
        <v>0.08552463330682548</v>
      </c>
      <c r="M50" s="49">
        <v>0.2132783979177475</v>
      </c>
      <c r="N50" s="49">
        <v>600.4689281291161</v>
      </c>
      <c r="O50" s="49">
        <v>0</v>
      </c>
      <c r="P50" s="49">
        <v>0</v>
      </c>
      <c r="Q50" s="49">
        <v>600.4689331054688</v>
      </c>
      <c r="R50" s="49">
        <v>82.97740119467291</v>
      </c>
      <c r="S50" s="49">
        <v>165.15051007070917</v>
      </c>
      <c r="T50" s="49">
        <v>4.732307434082031</v>
      </c>
      <c r="U50" s="49">
        <v>24.477571487426758</v>
      </c>
      <c r="V50" s="49">
        <v>194.14579729350095</v>
      </c>
      <c r="W50" s="49">
        <v>600.4689281291161</v>
      </c>
      <c r="X50" s="69">
        <v>0.3233236362427644</v>
      </c>
      <c r="Y50" s="60">
        <v>78.67509460449219</v>
      </c>
      <c r="Z50" s="60">
        <v>0</v>
      </c>
      <c r="AA50" s="60">
        <v>0</v>
      </c>
      <c r="AB50" s="60">
        <v>272.8208923339844</v>
      </c>
      <c r="AC50" s="60">
        <v>600.4689331054688</v>
      </c>
      <c r="AD50" s="69">
        <v>0.4543463885784149</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67</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68</v>
      </c>
      <c r="C54" s="59" t="s">
        <v>64</v>
      </c>
      <c r="D54" s="59" t="s">
        <v>65</v>
      </c>
      <c r="E54" s="59" t="s">
        <v>69</v>
      </c>
      <c r="F54" s="59" t="s">
        <v>70</v>
      </c>
      <c r="G54" s="59" t="s">
        <v>71</v>
      </c>
      <c r="H54" s="59" t="s">
        <v>72</v>
      </c>
      <c r="I54" s="59" t="s">
        <v>66</v>
      </c>
      <c r="J54" s="59" t="s">
        <v>55</v>
      </c>
      <c r="K54" s="59" t="s">
        <v>63</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73</v>
      </c>
      <c r="C55" s="49">
        <v>8597.115001235934</v>
      </c>
      <c r="D55" s="49">
        <v>2346.4529006902476</v>
      </c>
      <c r="E55" s="49">
        <v>2346.45</v>
      </c>
      <c r="F55" s="49">
        <v>469.29048</v>
      </c>
      <c r="G55" s="49">
        <v>2815.7433806902477</v>
      </c>
      <c r="H55" s="49">
        <v>2869.091796875</v>
      </c>
      <c r="I55" s="49">
        <v>17.757420333582655</v>
      </c>
      <c r="J55" s="49">
        <v>3618.7818130348032</v>
      </c>
      <c r="K55" s="48">
        <v>1.285195887470292</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74</v>
      </c>
      <c r="C56" s="49">
        <v>0</v>
      </c>
      <c r="D56" s="49">
        <v>0</v>
      </c>
      <c r="E56" s="49">
        <v>0</v>
      </c>
      <c r="F56" s="49">
        <v>0</v>
      </c>
      <c r="G56" s="49">
        <v>0</v>
      </c>
      <c r="H56" s="49">
        <v>0</v>
      </c>
      <c r="I56" s="49">
        <v>0</v>
      </c>
      <c r="J56" s="49">
        <v>5520.149119786048</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75</v>
      </c>
      <c r="C57" s="49">
        <v>8398.381860528909</v>
      </c>
      <c r="D57" s="49">
        <v>3768.10791015625</v>
      </c>
      <c r="E57" s="49">
        <v>3768.1067093823253</v>
      </c>
      <c r="F57" s="49">
        <v>753.6213418764651</v>
      </c>
      <c r="G57" s="49">
        <v>4521.7292520327155</v>
      </c>
      <c r="H57" s="49">
        <v>4716.42626953125</v>
      </c>
      <c r="I57" s="49">
        <v>29.19096662713035</v>
      </c>
      <c r="J57" s="49">
        <v>3535.129113828793</v>
      </c>
      <c r="K57" s="69">
        <v>0.7818091081502939</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76</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77</v>
      </c>
      <c r="C59" s="49">
        <v>5439.521374086105</v>
      </c>
      <c r="D59" s="49">
        <v>1242.6939651682242</v>
      </c>
      <c r="E59" s="49">
        <v>1242.69</v>
      </c>
      <c r="F59" s="49">
        <v>248.53874000000002</v>
      </c>
      <c r="G59" s="49">
        <v>1491.2327051682241</v>
      </c>
      <c r="H59" s="49">
        <v>2401.53466796875</v>
      </c>
      <c r="I59" s="49">
        <v>14.863608975875804</v>
      </c>
      <c r="J59" s="49">
        <v>2289.6565903011656</v>
      </c>
      <c r="K59" s="102">
        <v>1.5354119999955824</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78</v>
      </c>
      <c r="C60" s="49">
        <v>3157.5936271498285</v>
      </c>
      <c r="D60" s="49">
        <v>1103.758935522023</v>
      </c>
      <c r="E60" s="49">
        <v>1103.76</v>
      </c>
      <c r="F60" s="49">
        <v>220.75174</v>
      </c>
      <c r="G60" s="49">
        <v>1324.510675522023</v>
      </c>
      <c r="H60" s="49">
        <v>3674.54296875</v>
      </c>
      <c r="I60" s="49">
        <v>22.742529436120314</v>
      </c>
      <c r="J60" s="49">
        <v>1329.1252227336374</v>
      </c>
      <c r="K60" s="102">
        <v>1.0034839637738637</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79</v>
      </c>
      <c r="C61" s="49">
        <v>3091.103816842321</v>
      </c>
      <c r="D61" s="49">
        <v>1717.662666517881</v>
      </c>
      <c r="E61" s="49">
        <v>1717.66</v>
      </c>
      <c r="F61" s="49">
        <v>343.53246</v>
      </c>
      <c r="G61" s="49">
        <v>2061.195126517881</v>
      </c>
      <c r="H61" s="49">
        <v>5841.30126953125</v>
      </c>
      <c r="I61" s="49">
        <v>36.15305941282117</v>
      </c>
      <c r="J61" s="49">
        <v>1301.1376808363445</v>
      </c>
      <c r="K61" s="70">
        <v>0.6312540060360254</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80</v>
      </c>
      <c r="C62" s="49">
        <v>0</v>
      </c>
      <c r="D62" s="49">
        <v>0</v>
      </c>
      <c r="E62" s="49">
        <v>0</v>
      </c>
      <c r="F62" s="49">
        <v>0</v>
      </c>
      <c r="G62" s="49">
        <v>0</v>
      </c>
      <c r="H62" s="49">
        <v>0</v>
      </c>
      <c r="I62" s="49">
        <v>0</v>
      </c>
      <c r="J62" s="49">
        <v>0</v>
      </c>
      <c r="K62" s="70">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81</v>
      </c>
      <c r="C63" s="49">
        <v>123.19760906826713</v>
      </c>
      <c r="D63" s="49">
        <v>110.5000235786894</v>
      </c>
      <c r="E63" s="49">
        <v>110.5</v>
      </c>
      <c r="F63" s="49">
        <v>22.1</v>
      </c>
      <c r="G63" s="49">
        <v>132.6000235786894</v>
      </c>
      <c r="H63" s="49">
        <v>9428.5615234375</v>
      </c>
      <c r="I63" s="49">
        <v>58.35537458856136</v>
      </c>
      <c r="J63" s="49">
        <v>51.8575437273463</v>
      </c>
      <c r="K63" s="70">
        <v>0.39108246233887173</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82</v>
      </c>
      <c r="C64" s="49">
        <v>1302.7637745531717</v>
      </c>
      <c r="D64" s="49">
        <v>1631.3422480986783</v>
      </c>
      <c r="E64" s="49">
        <v>1631.34</v>
      </c>
      <c r="F64" s="49">
        <v>326.26838000000004</v>
      </c>
      <c r="G64" s="49">
        <v>1957.6106280986783</v>
      </c>
      <c r="H64" s="49">
        <v>13163.298828125</v>
      </c>
      <c r="I64" s="49">
        <v>81.47046211277284</v>
      </c>
      <c r="J64" s="49">
        <v>548.3720821875528</v>
      </c>
      <c r="K64" s="70">
        <v>0.2801231635732163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41" ht="12"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39"/>
      <c r="AF524" s="39"/>
      <c r="AG524" s="39"/>
      <c r="AH524" s="39"/>
      <c r="AI524" s="39"/>
      <c r="AJ524" s="39"/>
      <c r="AK524" s="39"/>
      <c r="AL524" s="39"/>
      <c r="AM524" s="39"/>
      <c r="AN524" s="39"/>
      <c r="AO524" s="3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49"/>
      <c r="Y530" s="49"/>
      <c r="Z530" s="39"/>
      <c r="AA530" s="39"/>
      <c r="AB530" s="39"/>
      <c r="AC530" s="39"/>
      <c r="AD530" s="39"/>
    </row>
    <row r="531" spans="3:30" ht="12.75">
      <c r="C531" s="39"/>
      <c r="D531" s="39"/>
      <c r="E531" s="39"/>
      <c r="F531" s="39"/>
      <c r="G531" s="39"/>
      <c r="H531" s="39"/>
      <c r="I531" s="103"/>
      <c r="J531" s="103"/>
      <c r="K531" s="103"/>
      <c r="L531" s="103"/>
      <c r="M531" s="103"/>
      <c r="S531" s="39"/>
      <c r="T531" s="39"/>
      <c r="U531" s="39"/>
      <c r="X531" s="49"/>
      <c r="Y531" s="49"/>
      <c r="Z531" s="39"/>
      <c r="AA531" s="39"/>
      <c r="AB531" s="39"/>
      <c r="AC531" s="39"/>
      <c r="AD531" s="39"/>
    </row>
    <row r="532" spans="3:30" ht="12.75">
      <c r="C532" s="39"/>
      <c r="D532" s="39"/>
      <c r="E532" s="39"/>
      <c r="F532" s="39"/>
      <c r="G532" s="39"/>
      <c r="H532" s="39"/>
      <c r="I532" s="103"/>
      <c r="J532" s="103"/>
      <c r="K532" s="103"/>
      <c r="L532" s="103"/>
      <c r="M532" s="103"/>
      <c r="S532" s="39"/>
      <c r="T532" s="39"/>
      <c r="U532" s="39"/>
      <c r="X532" s="49"/>
      <c r="Y532" s="49"/>
      <c r="Z532" s="39"/>
      <c r="AA532" s="39"/>
      <c r="AB532" s="39"/>
      <c r="AC532" s="39"/>
      <c r="AD532" s="39"/>
    </row>
    <row r="533" spans="3:30" ht="12.75">
      <c r="C533" s="39"/>
      <c r="D533" s="39"/>
      <c r="E533" s="39"/>
      <c r="F533" s="39"/>
      <c r="G533" s="39"/>
      <c r="H533" s="39"/>
      <c r="I533" s="103"/>
      <c r="J533" s="103"/>
      <c r="K533" s="103"/>
      <c r="L533" s="103"/>
      <c r="M533" s="103"/>
      <c r="S533" s="39"/>
      <c r="T533" s="39"/>
      <c r="U533" s="39"/>
      <c r="X533" s="49"/>
      <c r="Y533" s="49"/>
      <c r="Z533" s="39"/>
      <c r="AA533" s="39"/>
      <c r="AB533" s="39"/>
      <c r="AC533" s="39"/>
      <c r="AD533"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dimension ref="A1:AO535"/>
  <sheetViews>
    <sheetView workbookViewId="0" topLeftCell="A40">
      <selection activeCell="K74" sqref="K74"/>
    </sheetView>
  </sheetViews>
  <sheetFormatPr defaultColWidth="9.140625" defaultRowHeight="12.75"/>
  <cols>
    <col min="1" max="1" width="40.7109375" style="0" customWidth="1"/>
    <col min="2" max="2" width="36.140625" style="0" customWidth="1"/>
    <col min="3" max="3" width="8.57421875" style="0" customWidth="1"/>
    <col min="4" max="4" width="9.421875" style="0" customWidth="1"/>
    <col min="5" max="6" width="8.57421875" style="0" customWidth="1"/>
    <col min="7" max="7" width="12.140625" style="0" customWidth="1"/>
    <col min="8" max="8" width="8.57421875" style="0" customWidth="1"/>
    <col min="9" max="13" width="8.57421875" style="105" customWidth="1"/>
    <col min="14" max="18" width="8.57421875" style="49" customWidth="1"/>
    <col min="19" max="21" width="8.57421875" style="0" customWidth="1"/>
    <col min="22" max="22" width="8.57421875" style="49" customWidth="1"/>
    <col min="24" max="27" width="9.00390625" style="0" bestFit="1" customWidth="1"/>
    <col min="28" max="28" width="9.57421875" style="0" bestFit="1" customWidth="1"/>
    <col min="29" max="29" width="9.00390625" style="0" bestFit="1" customWidth="1"/>
    <col min="30" max="30" width="9.57421875" style="0" bestFit="1" customWidth="1"/>
    <col min="41" max="41" width="9.57421875" style="0" bestFit="1" customWidth="1"/>
  </cols>
  <sheetData>
    <row r="1" spans="1:7" ht="14.25">
      <c r="A1" s="36" t="s">
        <v>132</v>
      </c>
      <c r="B1" s="37"/>
      <c r="C1" s="37"/>
      <c r="D1" s="37"/>
      <c r="E1" s="37"/>
      <c r="F1" s="37"/>
      <c r="G1" s="37"/>
    </row>
    <row r="2" spans="1:7" ht="12.75">
      <c r="A2" s="37">
        <v>1350</v>
      </c>
      <c r="B2" s="37"/>
      <c r="C2" s="37"/>
      <c r="D2" s="37"/>
      <c r="E2" s="37"/>
      <c r="F2" s="37"/>
      <c r="G2" s="37"/>
    </row>
    <row r="3" spans="1:7" ht="12.75">
      <c r="A3" s="37"/>
      <c r="B3" s="37"/>
      <c r="C3" s="37"/>
      <c r="D3" s="37"/>
      <c r="E3" s="37"/>
      <c r="F3" s="37"/>
      <c r="G3" s="37"/>
    </row>
    <row r="4" spans="1:22" ht="12.75">
      <c r="A4" s="106" t="s">
        <v>37</v>
      </c>
      <c r="B4" s="107"/>
      <c r="C4" s="107"/>
      <c r="D4" s="107"/>
      <c r="E4" s="107"/>
      <c r="F4" s="107"/>
      <c r="G4" s="108"/>
      <c r="H4" s="43"/>
      <c r="I4" s="44" t="s">
        <v>38</v>
      </c>
      <c r="J4" s="45"/>
      <c r="K4" s="45"/>
      <c r="L4" s="45"/>
      <c r="M4" s="45"/>
      <c r="N4" s="45"/>
      <c r="O4"/>
      <c r="P4"/>
      <c r="Q4"/>
      <c r="R4"/>
      <c r="V4"/>
    </row>
    <row r="5" spans="1:22" ht="38.25">
      <c r="A5" s="46" t="s">
        <v>39</v>
      </c>
      <c r="B5" s="46" t="s">
        <v>40</v>
      </c>
      <c r="C5" s="46" t="s">
        <v>133</v>
      </c>
      <c r="D5" s="46" t="s">
        <v>181</v>
      </c>
      <c r="E5" s="46" t="s">
        <v>182</v>
      </c>
      <c r="F5" s="46" t="s">
        <v>183</v>
      </c>
      <c r="G5" s="47" t="s">
        <v>43</v>
      </c>
      <c r="H5" s="47" t="s">
        <v>135</v>
      </c>
      <c r="I5" s="47" t="s">
        <v>44</v>
      </c>
      <c r="J5" s="47" t="s">
        <v>45</v>
      </c>
      <c r="K5" s="47" t="s">
        <v>46</v>
      </c>
      <c r="L5" s="47" t="s">
        <v>47</v>
      </c>
      <c r="M5" s="47" t="s">
        <v>48</v>
      </c>
      <c r="N5" s="47" t="s">
        <v>49</v>
      </c>
      <c r="O5"/>
      <c r="P5"/>
      <c r="Q5"/>
      <c r="R5"/>
      <c r="V5"/>
    </row>
    <row r="6" spans="1:26" ht="12.75" customHeight="1">
      <c r="A6" s="104" t="str">
        <f aca="true" t="shared" si="0" ref="A6:A20">B6</f>
        <v>VAULT R19</v>
      </c>
      <c r="B6" s="104" t="str">
        <f>'UA Optimizer'!Z45</f>
        <v>VAULT R19</v>
      </c>
      <c r="C6" s="98">
        <f>'UA Optimizer'!AE45</f>
        <v>2063.1247783308136</v>
      </c>
      <c r="D6" s="98">
        <v>45</v>
      </c>
      <c r="E6" s="99">
        <f>'UA Optimizer'!AB45</f>
        <v>349.1069964769669</v>
      </c>
      <c r="F6" s="100">
        <v>0</v>
      </c>
      <c r="G6" s="101" t="s">
        <v>169</v>
      </c>
      <c r="H6" s="49"/>
      <c r="I6" s="49"/>
      <c r="J6" s="49"/>
      <c r="K6" s="49"/>
      <c r="L6" s="49"/>
      <c r="M6" s="49"/>
      <c r="S6" s="49"/>
      <c r="T6" s="49"/>
      <c r="U6" s="49"/>
      <c r="W6" s="49"/>
      <c r="X6" s="49"/>
      <c r="Y6" s="49"/>
      <c r="Z6" s="49"/>
    </row>
    <row r="7" spans="1:26" ht="12.75" customHeight="1">
      <c r="A7" s="104" t="str">
        <f t="shared" si="0"/>
        <v>ATTIC R19</v>
      </c>
      <c r="B7" s="104" t="str">
        <f>'UA Optimizer'!Z46</f>
        <v>ATTIC R19</v>
      </c>
      <c r="C7" s="98">
        <f>'UA Optimizer'!AE46</f>
        <v>3816.110009200973</v>
      </c>
      <c r="D7" s="98">
        <v>45</v>
      </c>
      <c r="E7" s="99">
        <f>'UA Optimizer'!AB46</f>
        <v>814.5829917795894</v>
      </c>
      <c r="F7" s="100">
        <v>0</v>
      </c>
      <c r="G7" s="101" t="s">
        <v>169</v>
      </c>
      <c r="H7" s="49"/>
      <c r="I7" s="49"/>
      <c r="J7" s="49"/>
      <c r="K7" s="49"/>
      <c r="L7" s="49"/>
      <c r="M7" s="49"/>
      <c r="S7" s="49"/>
      <c r="T7" s="49"/>
      <c r="U7" s="49"/>
      <c r="W7" s="49"/>
      <c r="X7" s="49"/>
      <c r="Y7" s="49"/>
      <c r="Z7" s="49"/>
    </row>
    <row r="8" spans="1:26" ht="12.75" customHeight="1">
      <c r="A8" s="104" t="str">
        <f t="shared" si="0"/>
        <v>FLOOR R11</v>
      </c>
      <c r="B8" s="104" t="str">
        <f>'UA Optimizer'!Z47</f>
        <v>FLOOR R11</v>
      </c>
      <c r="C8" s="98">
        <f>'UA Optimizer'!AE47</f>
        <v>2666.166766448534</v>
      </c>
      <c r="D8" s="98">
        <v>45</v>
      </c>
      <c r="E8" s="99">
        <f>'UA Optimizer'!AB47</f>
        <v>810</v>
      </c>
      <c r="F8" s="100">
        <v>0</v>
      </c>
      <c r="G8" s="101" t="s">
        <v>169</v>
      </c>
      <c r="H8" s="49"/>
      <c r="I8" s="49"/>
      <c r="J8" s="49"/>
      <c r="K8" s="49"/>
      <c r="L8" s="49"/>
      <c r="M8" s="49"/>
      <c r="S8" s="49"/>
      <c r="T8" s="49"/>
      <c r="U8" s="49"/>
      <c r="W8" s="49"/>
      <c r="X8" s="49"/>
      <c r="Y8" s="49"/>
      <c r="Z8" s="49"/>
    </row>
    <row r="9" spans="1:26" ht="12.75" customHeight="1">
      <c r="A9" s="104" t="str">
        <f t="shared" si="0"/>
        <v>WALL R11</v>
      </c>
      <c r="B9" s="104" t="str">
        <f>'UA Optimizer'!Z48</f>
        <v>WALL R11</v>
      </c>
      <c r="C9" s="98">
        <f>'UA Optimizer'!AE48</f>
        <v>2335.720138316092</v>
      </c>
      <c r="D9" s="98">
        <v>45</v>
      </c>
      <c r="E9" s="99">
        <f>'UA Optimizer'!AB48</f>
        <v>816.436211241472</v>
      </c>
      <c r="F9" s="100">
        <v>0</v>
      </c>
      <c r="G9" s="101" t="s">
        <v>169</v>
      </c>
      <c r="H9" s="49"/>
      <c r="I9" s="49"/>
      <c r="J9" s="49"/>
      <c r="K9" s="49"/>
      <c r="L9" s="49"/>
      <c r="M9" s="49"/>
      <c r="S9" s="49"/>
      <c r="T9" s="49"/>
      <c r="U9" s="49"/>
      <c r="W9" s="49"/>
      <c r="X9" s="49"/>
      <c r="Y9" s="49"/>
      <c r="Z9" s="49"/>
    </row>
    <row r="10" spans="1:26" ht="12.75" customHeight="1">
      <c r="A10" s="104" t="str">
        <f t="shared" si="0"/>
        <v>FLOOR R19</v>
      </c>
      <c r="B10" s="104" t="str">
        <f>'UA Optimizer'!Z49</f>
        <v>FLOOR R19</v>
      </c>
      <c r="C10" s="98">
        <f>'UA Optimizer'!AE49</f>
        <v>717.3245818671458</v>
      </c>
      <c r="D10" s="98">
        <v>45</v>
      </c>
      <c r="E10" s="99">
        <f>'UA Optimizer'!AB49</f>
        <v>268.14356430004733</v>
      </c>
      <c r="F10" s="100">
        <v>0</v>
      </c>
      <c r="G10" s="101" t="s">
        <v>169</v>
      </c>
      <c r="H10" s="49"/>
      <c r="I10" s="49"/>
      <c r="J10" s="49"/>
      <c r="K10" s="49"/>
      <c r="L10" s="49"/>
      <c r="M10" s="49"/>
      <c r="S10" s="49"/>
      <c r="T10" s="49"/>
      <c r="U10" s="49"/>
      <c r="W10" s="49"/>
      <c r="X10" s="49"/>
      <c r="Y10" s="49"/>
      <c r="Z10" s="49"/>
    </row>
    <row r="11" spans="1:26" ht="12.75" customHeight="1">
      <c r="A11" s="104" t="str">
        <f t="shared" si="0"/>
        <v>ATTIC R38</v>
      </c>
      <c r="B11" s="104" t="str">
        <f>'UA Optimizer'!Z50</f>
        <v>ATTIC R38</v>
      </c>
      <c r="C11" s="98">
        <f>'UA Optimizer'!AE50</f>
        <v>749.1776030875044</v>
      </c>
      <c r="D11" s="98">
        <v>45</v>
      </c>
      <c r="E11" s="99">
        <f>'UA Optimizer'!AB50</f>
        <v>312.1941986211782</v>
      </c>
      <c r="F11" s="100">
        <v>0</v>
      </c>
      <c r="G11" s="101" t="s">
        <v>169</v>
      </c>
      <c r="H11" s="49"/>
      <c r="I11" s="49"/>
      <c r="J11" s="49"/>
      <c r="K11" s="49"/>
      <c r="L11" s="49"/>
      <c r="M11" s="49"/>
      <c r="S11" s="49"/>
      <c r="T11" s="49"/>
      <c r="U11" s="49"/>
      <c r="W11" s="49"/>
      <c r="X11" s="49"/>
      <c r="Y11" s="49"/>
      <c r="Z11" s="49"/>
    </row>
    <row r="12" spans="1:26" ht="12.75" customHeight="1">
      <c r="A12" s="104" t="str">
        <f t="shared" si="0"/>
        <v>VAULT R38</v>
      </c>
      <c r="B12" s="104" t="str">
        <f>'UA Optimizer'!Z51</f>
        <v>VAULT R38</v>
      </c>
      <c r="C12" s="98">
        <f>'UA Optimizer'!AE51</f>
        <v>273.84864708460736</v>
      </c>
      <c r="D12" s="98">
        <v>45</v>
      </c>
      <c r="E12" s="99">
        <f>'UA Optimizer'!AB51</f>
        <v>133.79751369479067</v>
      </c>
      <c r="F12" s="100">
        <v>0</v>
      </c>
      <c r="G12" s="101" t="s">
        <v>169</v>
      </c>
      <c r="H12" s="49"/>
      <c r="I12" s="49"/>
      <c r="J12" s="49"/>
      <c r="K12" s="49"/>
      <c r="L12" s="49"/>
      <c r="M12" s="49"/>
      <c r="S12" s="49"/>
      <c r="T12" s="49"/>
      <c r="U12" s="49"/>
      <c r="W12" s="49"/>
      <c r="X12" s="49"/>
      <c r="Y12" s="49"/>
      <c r="Z12" s="49"/>
    </row>
    <row r="13" spans="1:26" ht="12.75" customHeight="1">
      <c r="A13" s="104" t="str">
        <f t="shared" si="0"/>
        <v>FLOOR R30</v>
      </c>
      <c r="B13" s="104" t="str">
        <f>'UA Optimizer'!Z52</f>
        <v>FLOOR R30</v>
      </c>
      <c r="C13" s="98">
        <f>'UA Optimizer'!AE52</f>
        <v>604.0571645372711</v>
      </c>
      <c r="D13" s="98">
        <v>45</v>
      </c>
      <c r="E13" s="99">
        <f>'UA Optimizer'!AB52</f>
        <v>337.5</v>
      </c>
      <c r="F13" s="100">
        <v>0</v>
      </c>
      <c r="G13" s="101" t="s">
        <v>169</v>
      </c>
      <c r="H13" s="49"/>
      <c r="I13" s="49"/>
      <c r="J13" s="49"/>
      <c r="K13" s="49"/>
      <c r="L13" s="49"/>
      <c r="M13" s="49"/>
      <c r="S13" s="49"/>
      <c r="T13" s="49"/>
      <c r="U13" s="49"/>
      <c r="W13" s="49"/>
      <c r="X13" s="49"/>
      <c r="Y13" s="49"/>
      <c r="Z13" s="49"/>
    </row>
    <row r="14" spans="1:26" ht="12.75" customHeight="1">
      <c r="A14" s="104" t="str">
        <f t="shared" si="0"/>
        <v>CLASS 35 PRIME WINDOW (Energy Star)</v>
      </c>
      <c r="B14" s="104" t="str">
        <f>'UA Optimizer'!Z53</f>
        <v>CLASS 35 PRIME WINDOW (Energy Star)</v>
      </c>
      <c r="C14" s="98">
        <f>'UA Optimizer'!AE53</f>
        <v>4094.6907282668662</v>
      </c>
      <c r="D14" s="98">
        <v>45</v>
      </c>
      <c r="E14" s="99">
        <f>'UA Optimizer'!AB53</f>
        <v>2385.8423548193973</v>
      </c>
      <c r="F14" s="100">
        <v>0</v>
      </c>
      <c r="G14" s="101" t="s">
        <v>169</v>
      </c>
      <c r="H14" s="49"/>
      <c r="I14" s="49"/>
      <c r="J14" s="49"/>
      <c r="K14" s="49"/>
      <c r="L14" s="49"/>
      <c r="M14" s="49"/>
      <c r="S14" s="49"/>
      <c r="T14" s="49"/>
      <c r="U14" s="49"/>
      <c r="W14" s="49"/>
      <c r="X14" s="49"/>
      <c r="Y14" s="49"/>
      <c r="Z14" s="49"/>
    </row>
    <row r="15" spans="1:26" ht="12.75" customHeight="1">
      <c r="A15" s="104" t="str">
        <f t="shared" si="0"/>
        <v>FLOOR R38</v>
      </c>
      <c r="B15" s="104" t="str">
        <f>'UA Optimizer'!Z54</f>
        <v>FLOOR R38</v>
      </c>
      <c r="C15" s="98">
        <f>'UA Optimizer'!AE54</f>
        <v>189.70723220041964</v>
      </c>
      <c r="D15" s="98">
        <v>45</v>
      </c>
      <c r="E15" s="99">
        <f>'UA Optimizer'!AB54</f>
        <v>175.5</v>
      </c>
      <c r="F15" s="100">
        <v>0</v>
      </c>
      <c r="G15" s="101" t="s">
        <v>169</v>
      </c>
      <c r="H15" s="49"/>
      <c r="I15" s="49"/>
      <c r="J15" s="49"/>
      <c r="K15" s="49"/>
      <c r="L15" s="49"/>
      <c r="M15" s="49"/>
      <c r="S15" s="49"/>
      <c r="T15" s="49"/>
      <c r="U15" s="49"/>
      <c r="W15" s="49"/>
      <c r="X15" s="49"/>
      <c r="Y15" s="49"/>
      <c r="Z15" s="49"/>
    </row>
    <row r="16" spans="1:26" ht="12.75" customHeight="1">
      <c r="A16" s="104" t="str">
        <f t="shared" si="0"/>
        <v>ATTIC R49</v>
      </c>
      <c r="B16" s="104" t="str">
        <f>'UA Optimizer'!Z55</f>
        <v>ATTIC R49</v>
      </c>
      <c r="C16" s="98">
        <f>'UA Optimizer'!AE55</f>
        <v>165.94053252271078</v>
      </c>
      <c r="D16" s="98">
        <v>45</v>
      </c>
      <c r="E16" s="99">
        <f>'UA Optimizer'!AB55</f>
        <v>171.9601370111855</v>
      </c>
      <c r="F16" s="100">
        <v>0</v>
      </c>
      <c r="G16" s="101" t="s">
        <v>169</v>
      </c>
      <c r="H16" s="49"/>
      <c r="I16" s="49"/>
      <c r="J16" s="49"/>
      <c r="K16" s="49"/>
      <c r="L16" s="49"/>
      <c r="M16" s="49"/>
      <c r="S16" s="49"/>
      <c r="T16" s="49"/>
      <c r="U16" s="49"/>
      <c r="W16" s="49"/>
      <c r="X16" s="49"/>
      <c r="Y16" s="49"/>
      <c r="Z16" s="49"/>
    </row>
    <row r="17" spans="1:26" ht="12.75" customHeight="1">
      <c r="A17" s="104" t="str">
        <f t="shared" si="0"/>
        <v>CLASS 25 PRIME WINDOW </v>
      </c>
      <c r="B17" s="104" t="str">
        <f>'UA Optimizer'!Z56</f>
        <v>CLASS 25 PRIME WINDOW </v>
      </c>
      <c r="C17" s="98">
        <f>'UA Optimizer'!AE56</f>
        <v>494.43437152064234</v>
      </c>
      <c r="D17" s="98">
        <v>45</v>
      </c>
      <c r="E17" s="99">
        <f>'UA Optimizer'!AB56</f>
        <v>715.2</v>
      </c>
      <c r="F17" s="100">
        <v>0</v>
      </c>
      <c r="G17" s="101" t="s">
        <v>169</v>
      </c>
      <c r="H17" s="49"/>
      <c r="I17" s="49"/>
      <c r="J17" s="49"/>
      <c r="K17" s="49"/>
      <c r="L17" s="49"/>
      <c r="M17" s="49"/>
      <c r="S17" s="49"/>
      <c r="T17" s="49"/>
      <c r="U17" s="49"/>
      <c r="W17" s="49"/>
      <c r="X17" s="49"/>
      <c r="Y17" s="49"/>
      <c r="Z17" s="49"/>
    </row>
    <row r="18" spans="1:22" ht="12.75" customHeight="1">
      <c r="A18" s="104" t="str">
        <f t="shared" si="0"/>
        <v>DOOR R5</v>
      </c>
      <c r="B18" s="104" t="str">
        <f>'UA Optimizer'!Z57</f>
        <v>DOOR R5</v>
      </c>
      <c r="C18" s="98">
        <f>'UA Optimizer'!AE57</f>
        <v>386.09645473193814</v>
      </c>
      <c r="D18" s="98">
        <v>45</v>
      </c>
      <c r="E18" s="99">
        <f>'UA Optimizer'!AB57</f>
        <v>600.46875</v>
      </c>
      <c r="F18" s="100">
        <v>0</v>
      </c>
      <c r="G18" s="101" t="s">
        <v>169</v>
      </c>
      <c r="I18"/>
      <c r="J18"/>
      <c r="K18"/>
      <c r="L18"/>
      <c r="M18"/>
      <c r="N18"/>
      <c r="O18"/>
      <c r="P18"/>
      <c r="Q18"/>
      <c r="R18"/>
      <c r="V18"/>
    </row>
    <row r="19" spans="1:22" ht="12.75" customHeight="1">
      <c r="A19" s="104" t="str">
        <f t="shared" si="0"/>
        <v>INFILTRATION @ O.35 ACH</v>
      </c>
      <c r="B19" s="104" t="str">
        <f>'UA Optimizer'!Z58</f>
        <v>INFILTRATION @ O.35 ACH</v>
      </c>
      <c r="C19" s="98">
        <f>'UA Optimizer'!AE58</f>
        <v>416.11990169937053</v>
      </c>
      <c r="D19" s="98">
        <v>45</v>
      </c>
      <c r="E19" s="99">
        <f>'UA Optimizer'!AB58</f>
        <v>675</v>
      </c>
      <c r="F19" s="100">
        <v>0</v>
      </c>
      <c r="G19" s="101" t="s">
        <v>169</v>
      </c>
      <c r="I19"/>
      <c r="J19"/>
      <c r="K19"/>
      <c r="L19"/>
      <c r="M19"/>
      <c r="N19"/>
      <c r="O19"/>
      <c r="P19"/>
      <c r="Q19"/>
      <c r="R19"/>
      <c r="V19"/>
    </row>
    <row r="20" spans="1:22" ht="12.75" customHeight="1">
      <c r="A20" s="104" t="str">
        <f t="shared" si="0"/>
        <v>VAULT R49</v>
      </c>
      <c r="B20" s="104" t="str">
        <f>'UA Optimizer'!Z59</f>
        <v>VAULT R49</v>
      </c>
      <c r="C20" s="98">
        <f>'UA Optimizer'!AE59</f>
        <v>40.95169425724998</v>
      </c>
      <c r="D20" s="98">
        <v>45</v>
      </c>
      <c r="E20" s="99">
        <f>'UA Optimizer'!AB59</f>
        <v>73.69720157622235</v>
      </c>
      <c r="F20" s="100">
        <v>0</v>
      </c>
      <c r="G20" s="101" t="s">
        <v>169</v>
      </c>
      <c r="I20"/>
      <c r="J20"/>
      <c r="K20"/>
      <c r="L20"/>
      <c r="M20"/>
      <c r="N20"/>
      <c r="O20"/>
      <c r="P20"/>
      <c r="Q20"/>
      <c r="R20"/>
      <c r="V20"/>
    </row>
    <row r="21" spans="9:22" ht="12.75" customHeight="1">
      <c r="I21"/>
      <c r="J21"/>
      <c r="K21"/>
      <c r="L21"/>
      <c r="M21"/>
      <c r="N21"/>
      <c r="O21"/>
      <c r="P21"/>
      <c r="Q21"/>
      <c r="R21"/>
      <c r="V21"/>
    </row>
    <row r="22" spans="9:22" ht="12.75" customHeight="1" thickBot="1">
      <c r="I22"/>
      <c r="J22"/>
      <c r="K22"/>
      <c r="L22"/>
      <c r="M22"/>
      <c r="N22"/>
      <c r="O22"/>
      <c r="P22"/>
      <c r="Q22"/>
      <c r="R22"/>
      <c r="V22"/>
    </row>
    <row r="23" spans="1:22" ht="12.75" customHeight="1" thickBot="1">
      <c r="A23" s="86" t="s">
        <v>599</v>
      </c>
      <c r="B23" s="50"/>
      <c r="C23" s="50"/>
      <c r="D23" s="51"/>
      <c r="I23"/>
      <c r="J23"/>
      <c r="K23"/>
      <c r="L23"/>
      <c r="M23"/>
      <c r="N23"/>
      <c r="O23"/>
      <c r="P23"/>
      <c r="Q23"/>
      <c r="R23"/>
      <c r="V23"/>
    </row>
    <row r="24" spans="1:41" ht="12.75" customHeight="1" thickBot="1">
      <c r="A24" s="52" t="s">
        <v>136</v>
      </c>
      <c r="B24" s="53"/>
      <c r="C24" s="54" t="s">
        <v>83</v>
      </c>
      <c r="D24" s="56"/>
      <c r="E24" s="56"/>
      <c r="F24" s="56"/>
      <c r="G24" s="56"/>
      <c r="H24" s="56"/>
      <c r="I24" s="56"/>
      <c r="J24" s="55"/>
      <c r="K24" s="54" t="s">
        <v>50</v>
      </c>
      <c r="L24" s="56"/>
      <c r="M24" s="55"/>
      <c r="N24" s="54" t="s">
        <v>51</v>
      </c>
      <c r="O24" s="56"/>
      <c r="P24" s="56"/>
      <c r="Q24" s="55"/>
      <c r="R24" s="54" t="s">
        <v>52</v>
      </c>
      <c r="S24" s="55"/>
      <c r="T24" s="54" t="s">
        <v>53</v>
      </c>
      <c r="U24" s="56"/>
      <c r="V24" s="56"/>
      <c r="W24" s="56"/>
      <c r="X24" s="55"/>
      <c r="Y24" s="54" t="s">
        <v>54</v>
      </c>
      <c r="Z24" s="56"/>
      <c r="AA24" s="56"/>
      <c r="AB24" s="56"/>
      <c r="AC24" s="55"/>
      <c r="AD24" s="54" t="s">
        <v>84</v>
      </c>
      <c r="AE24" s="56"/>
      <c r="AF24" s="56"/>
      <c r="AG24" s="56"/>
      <c r="AH24" s="56"/>
      <c r="AI24" s="55"/>
      <c r="AJ24" s="54" t="s">
        <v>85</v>
      </c>
      <c r="AK24" s="56"/>
      <c r="AL24" s="56"/>
      <c r="AM24" s="56"/>
      <c r="AN24" s="56"/>
      <c r="AO24" s="55"/>
    </row>
    <row r="25" spans="1:41" ht="51">
      <c r="A25" s="57" t="s">
        <v>56</v>
      </c>
      <c r="B25" s="58" t="s">
        <v>57</v>
      </c>
      <c r="C25" s="59" t="s">
        <v>86</v>
      </c>
      <c r="D25" s="59" t="s">
        <v>87</v>
      </c>
      <c r="E25" s="59" t="s">
        <v>88</v>
      </c>
      <c r="F25" s="59" t="s">
        <v>89</v>
      </c>
      <c r="G25" s="59" t="s">
        <v>155</v>
      </c>
      <c r="H25" s="59" t="s">
        <v>91</v>
      </c>
      <c r="I25" s="59" t="s">
        <v>92</v>
      </c>
      <c r="J25" s="59" t="s">
        <v>93</v>
      </c>
      <c r="K25" s="59" t="s">
        <v>94</v>
      </c>
      <c r="L25" s="59" t="s">
        <v>95</v>
      </c>
      <c r="M25" s="59" t="s">
        <v>96</v>
      </c>
      <c r="N25" s="59" t="s">
        <v>25</v>
      </c>
      <c r="O25" s="59" t="s">
        <v>26</v>
      </c>
      <c r="P25" s="59" t="s">
        <v>27</v>
      </c>
      <c r="Q25" s="59" t="s">
        <v>9</v>
      </c>
      <c r="R25" s="59" t="s">
        <v>58</v>
      </c>
      <c r="S25" s="59" t="s">
        <v>9</v>
      </c>
      <c r="T25" s="59" t="s">
        <v>25</v>
      </c>
      <c r="U25" s="59" t="s">
        <v>26</v>
      </c>
      <c r="V25" s="59" t="s">
        <v>27</v>
      </c>
      <c r="W25" s="59" t="s">
        <v>9</v>
      </c>
      <c r="X25" s="59" t="s">
        <v>62</v>
      </c>
      <c r="Y25" s="59" t="s">
        <v>25</v>
      </c>
      <c r="Z25" s="59" t="s">
        <v>26</v>
      </c>
      <c r="AA25" s="59" t="s">
        <v>27</v>
      </c>
      <c r="AB25" s="59" t="s">
        <v>9</v>
      </c>
      <c r="AC25" s="59" t="s">
        <v>62</v>
      </c>
      <c r="AD25" s="59" t="s">
        <v>97</v>
      </c>
      <c r="AE25" s="59" t="s">
        <v>98</v>
      </c>
      <c r="AF25" s="59" t="s">
        <v>61</v>
      </c>
      <c r="AG25" s="59" t="s">
        <v>99</v>
      </c>
      <c r="AH25" s="59" t="s">
        <v>100</v>
      </c>
      <c r="AI25" s="59" t="s">
        <v>101</v>
      </c>
      <c r="AJ25" s="59" t="s">
        <v>102</v>
      </c>
      <c r="AK25" s="59" t="s">
        <v>59</v>
      </c>
      <c r="AL25" s="59" t="s">
        <v>60</v>
      </c>
      <c r="AM25" s="59" t="s">
        <v>103</v>
      </c>
      <c r="AN25" s="59" t="s">
        <v>104</v>
      </c>
      <c r="AO25" s="59" t="s">
        <v>105</v>
      </c>
    </row>
    <row r="26" spans="1:41" ht="12.75" customHeight="1">
      <c r="A26" t="s">
        <v>483</v>
      </c>
      <c r="B26" t="s">
        <v>483</v>
      </c>
      <c r="C26" s="49">
        <v>45</v>
      </c>
      <c r="D26" s="49">
        <v>2063.1247783308136</v>
      </c>
      <c r="E26" s="49">
        <v>349.11</v>
      </c>
      <c r="F26" s="49">
        <v>0</v>
      </c>
      <c r="G26" s="49">
        <v>0</v>
      </c>
      <c r="H26" s="49" t="s">
        <v>169</v>
      </c>
      <c r="I26" s="49">
        <v>0.21</v>
      </c>
      <c r="J26" s="49">
        <v>0.4009999930858612</v>
      </c>
      <c r="K26" s="49">
        <v>2220.438042678538</v>
      </c>
      <c r="L26" s="60">
        <v>0.4840158946301788</v>
      </c>
      <c r="M26" s="49">
        <v>1.2070222019344086</v>
      </c>
      <c r="P26" s="49">
        <v>349.1070744930817</v>
      </c>
      <c r="Q26" s="49">
        <v>0</v>
      </c>
      <c r="R26" s="49">
        <v>0</v>
      </c>
      <c r="S26" s="49">
        <v>0</v>
      </c>
      <c r="T26" s="49">
        <v>0</v>
      </c>
      <c r="U26" s="49">
        <v>0</v>
      </c>
      <c r="V26" s="49">
        <v>349.1070744930817</v>
      </c>
      <c r="W26" s="49">
        <v>0</v>
      </c>
      <c r="X26" s="49">
        <v>349.1070744930817</v>
      </c>
      <c r="Y26" s="49">
        <v>0</v>
      </c>
      <c r="Z26" s="49">
        <v>0</v>
      </c>
      <c r="AA26" s="49">
        <v>8.52431583404541</v>
      </c>
      <c r="AB26" s="49">
        <v>0</v>
      </c>
      <c r="AC26" s="49">
        <v>8.524315778265306</v>
      </c>
      <c r="AD26" s="49">
        <v>934.6485192603013</v>
      </c>
      <c r="AE26" s="49">
        <v>26.781897351245178</v>
      </c>
      <c r="AF26" s="49">
        <v>138.52774047851562</v>
      </c>
      <c r="AG26" s="49">
        <v>1098.7437031617287</v>
      </c>
      <c r="AH26" s="49">
        <v>349.1070744930817</v>
      </c>
      <c r="AI26" s="48">
        <v>3.147297157346786</v>
      </c>
      <c r="AJ26" s="49">
        <v>445.2518310546875</v>
      </c>
      <c r="AK26" s="49">
        <v>0</v>
      </c>
      <c r="AL26" s="49">
        <v>0</v>
      </c>
      <c r="AM26" s="49">
        <v>1543.9954833984375</v>
      </c>
      <c r="AN26" s="49">
        <v>349.1070744930817</v>
      </c>
      <c r="AO26" s="48">
        <v>4.422698974609375</v>
      </c>
    </row>
    <row r="27" spans="1:41" ht="12.75" customHeight="1">
      <c r="A27" t="s">
        <v>172</v>
      </c>
      <c r="B27" t="s">
        <v>172</v>
      </c>
      <c r="C27" s="49">
        <v>45</v>
      </c>
      <c r="D27" s="49">
        <v>3816.110009200973</v>
      </c>
      <c r="E27" s="49">
        <v>814.58</v>
      </c>
      <c r="F27" s="49">
        <v>0</v>
      </c>
      <c r="G27" s="49">
        <v>0</v>
      </c>
      <c r="H27" s="49" t="s">
        <v>169</v>
      </c>
      <c r="I27" s="49">
        <v>0.21</v>
      </c>
      <c r="J27" s="49">
        <v>0.4009999930858612</v>
      </c>
      <c r="K27" s="49">
        <v>4107.088397402546</v>
      </c>
      <c r="L27" s="60">
        <v>0.8952720259629495</v>
      </c>
      <c r="M27" s="49">
        <v>2.2325986069811625</v>
      </c>
      <c r="P27" s="49">
        <v>814.5831738171904</v>
      </c>
      <c r="Q27" s="49">
        <v>0</v>
      </c>
      <c r="R27" s="49">
        <v>0</v>
      </c>
      <c r="S27" s="49">
        <v>0</v>
      </c>
      <c r="T27" s="49">
        <v>0</v>
      </c>
      <c r="U27" s="49">
        <v>0</v>
      </c>
      <c r="V27" s="49">
        <v>814.5831738171904</v>
      </c>
      <c r="W27" s="49">
        <v>0</v>
      </c>
      <c r="X27" s="49">
        <v>814.5831738171904</v>
      </c>
      <c r="Y27" s="49">
        <v>0</v>
      </c>
      <c r="Z27" s="49">
        <v>0</v>
      </c>
      <c r="AA27" s="49">
        <v>10.753279685974121</v>
      </c>
      <c r="AB27" s="49">
        <v>0</v>
      </c>
      <c r="AC27" s="49">
        <v>10.75327924739821</v>
      </c>
      <c r="AD27" s="49">
        <v>1728.795857088094</v>
      </c>
      <c r="AE27" s="49">
        <v>49.53780189202497</v>
      </c>
      <c r="AF27" s="49">
        <v>256.23126220703125</v>
      </c>
      <c r="AG27" s="49">
        <v>2032.318576302777</v>
      </c>
      <c r="AH27" s="49">
        <v>814.5831738171904</v>
      </c>
      <c r="AI27" s="48">
        <v>2.4949184339018426</v>
      </c>
      <c r="AJ27" s="49">
        <v>823.5709838867188</v>
      </c>
      <c r="AK27" s="49">
        <v>0</v>
      </c>
      <c r="AL27" s="49">
        <v>0</v>
      </c>
      <c r="AM27" s="49">
        <v>2855.8896484375</v>
      </c>
      <c r="AN27" s="49">
        <v>814.5831738171904</v>
      </c>
      <c r="AO27" s="48">
        <v>3.5059521198272705</v>
      </c>
    </row>
    <row r="28" spans="1:41" ht="12.75" customHeight="1">
      <c r="A28" t="s">
        <v>173</v>
      </c>
      <c r="B28" t="s">
        <v>173</v>
      </c>
      <c r="C28" s="49">
        <v>45</v>
      </c>
      <c r="D28" s="49">
        <v>2666.166766448534</v>
      </c>
      <c r="E28" s="49">
        <v>810</v>
      </c>
      <c r="F28" s="49">
        <v>0</v>
      </c>
      <c r="G28" s="49">
        <v>0</v>
      </c>
      <c r="H28" s="49" t="s">
        <v>169</v>
      </c>
      <c r="I28" s="49">
        <v>0.21</v>
      </c>
      <c r="J28" s="49">
        <v>0.4009999930858612</v>
      </c>
      <c r="K28" s="49">
        <v>2869.4619823902344</v>
      </c>
      <c r="L28" s="60">
        <v>0.6254915389751171</v>
      </c>
      <c r="M28" s="49">
        <v>1.5598293011471158</v>
      </c>
      <c r="P28" s="49">
        <v>810.0001728392616</v>
      </c>
      <c r="Q28" s="49">
        <v>0</v>
      </c>
      <c r="R28" s="49">
        <v>0</v>
      </c>
      <c r="S28" s="49">
        <v>0</v>
      </c>
      <c r="T28" s="49">
        <v>0</v>
      </c>
      <c r="U28" s="49">
        <v>0</v>
      </c>
      <c r="V28" s="49">
        <v>810.0001728392616</v>
      </c>
      <c r="W28" s="49">
        <v>0</v>
      </c>
      <c r="X28" s="49">
        <v>810.0001728392616</v>
      </c>
      <c r="Y28" s="49">
        <v>0</v>
      </c>
      <c r="Z28" s="49">
        <v>0</v>
      </c>
      <c r="AA28" s="49">
        <v>15.30467700958252</v>
      </c>
      <c r="AB28" s="49">
        <v>0</v>
      </c>
      <c r="AC28" s="49">
        <v>15.304677258568923</v>
      </c>
      <c r="AD28" s="49">
        <v>1207.8420299804977</v>
      </c>
      <c r="AE28" s="49">
        <v>34.61012412351359</v>
      </c>
      <c r="AF28" s="49">
        <v>179.01876831054688</v>
      </c>
      <c r="AG28" s="49">
        <v>1419.9014891271904</v>
      </c>
      <c r="AH28" s="49">
        <v>810.0001728392616</v>
      </c>
      <c r="AI28" s="48">
        <v>1.7529644273408804</v>
      </c>
      <c r="AJ28" s="49">
        <v>575.39697265625</v>
      </c>
      <c r="AK28" s="49">
        <v>0</v>
      </c>
      <c r="AL28" s="49">
        <v>0</v>
      </c>
      <c r="AM28" s="49">
        <v>1995.2984619140625</v>
      </c>
      <c r="AN28" s="49">
        <v>810.0001728392616</v>
      </c>
      <c r="AO28" s="48">
        <v>2.4633309841156006</v>
      </c>
    </row>
    <row r="29" spans="1:41" ht="12.75" customHeight="1">
      <c r="A29" t="s">
        <v>171</v>
      </c>
      <c r="B29" t="s">
        <v>171</v>
      </c>
      <c r="C29" s="49">
        <v>45</v>
      </c>
      <c r="D29" s="49">
        <v>2335.720138316092</v>
      </c>
      <c r="E29" s="49">
        <v>816.44</v>
      </c>
      <c r="F29" s="49">
        <v>0</v>
      </c>
      <c r="G29" s="49">
        <v>0</v>
      </c>
      <c r="H29" s="49" t="s">
        <v>169</v>
      </c>
      <c r="I29" s="49">
        <v>0.21</v>
      </c>
      <c r="J29" s="49">
        <v>0.4009999930858612</v>
      </c>
      <c r="K29" s="49">
        <v>2513.8187988626937</v>
      </c>
      <c r="L29" s="60">
        <v>0.5479676674076148</v>
      </c>
      <c r="M29" s="49">
        <v>1.3665029348025082</v>
      </c>
      <c r="P29" s="49">
        <v>816.4363742126295</v>
      </c>
      <c r="Q29" s="49">
        <v>0</v>
      </c>
      <c r="R29" s="49">
        <v>0</v>
      </c>
      <c r="S29" s="49">
        <v>0</v>
      </c>
      <c r="T29" s="49">
        <v>0</v>
      </c>
      <c r="U29" s="49">
        <v>0</v>
      </c>
      <c r="V29" s="49">
        <v>816.4363742126295</v>
      </c>
      <c r="W29" s="49">
        <v>0</v>
      </c>
      <c r="X29" s="49">
        <v>816.4363742126295</v>
      </c>
      <c r="Y29" s="49">
        <v>0</v>
      </c>
      <c r="Z29" s="49">
        <v>0</v>
      </c>
      <c r="AA29" s="49">
        <v>17.60872459411621</v>
      </c>
      <c r="AB29" s="49">
        <v>0</v>
      </c>
      <c r="AC29" s="49">
        <v>17.60872516162485</v>
      </c>
      <c r="AD29" s="49">
        <v>1058.1412193836543</v>
      </c>
      <c r="AE29" s="49">
        <v>30.320520427382196</v>
      </c>
      <c r="AF29" s="49">
        <v>156.8310546875</v>
      </c>
      <c r="AG29" s="49">
        <v>1243.9178779024785</v>
      </c>
      <c r="AH29" s="49">
        <v>816.4363742126295</v>
      </c>
      <c r="AI29" s="48">
        <v>1.5235943879914853</v>
      </c>
      <c r="AJ29" s="49">
        <v>504.0818176269531</v>
      </c>
      <c r="AK29" s="49">
        <v>0</v>
      </c>
      <c r="AL29" s="49">
        <v>0</v>
      </c>
      <c r="AM29" s="49">
        <v>1747.999755859375</v>
      </c>
      <c r="AN29" s="49">
        <v>816.4363742126295</v>
      </c>
      <c r="AO29" s="48">
        <v>2.1410117149353027</v>
      </c>
    </row>
    <row r="30" spans="1:41" ht="12.75" customHeight="1">
      <c r="A30" t="s">
        <v>174</v>
      </c>
      <c r="B30" t="s">
        <v>174</v>
      </c>
      <c r="C30" s="49">
        <v>45</v>
      </c>
      <c r="D30" s="49">
        <v>717.3245818671458</v>
      </c>
      <c r="E30" s="49">
        <v>268.14</v>
      </c>
      <c r="F30" s="49">
        <v>0</v>
      </c>
      <c r="G30" s="49">
        <v>0</v>
      </c>
      <c r="H30" s="49" t="s">
        <v>169</v>
      </c>
      <c r="I30" s="49">
        <v>0.21</v>
      </c>
      <c r="J30" s="49">
        <v>0.4009999930858612</v>
      </c>
      <c r="K30" s="49">
        <v>772.0205812345156</v>
      </c>
      <c r="L30" s="60">
        <v>0.16828671870905812</v>
      </c>
      <c r="M30" s="49">
        <v>0.41966763493939746</v>
      </c>
      <c r="P30" s="49">
        <v>268.1436572169652</v>
      </c>
      <c r="Q30" s="49">
        <v>0</v>
      </c>
      <c r="R30" s="49">
        <v>0</v>
      </c>
      <c r="S30" s="49">
        <v>0</v>
      </c>
      <c r="T30" s="49">
        <v>0</v>
      </c>
      <c r="U30" s="49">
        <v>0</v>
      </c>
      <c r="V30" s="49">
        <v>268.1436572169652</v>
      </c>
      <c r="W30" s="49">
        <v>0</v>
      </c>
      <c r="X30" s="49">
        <v>268.1436572169652</v>
      </c>
      <c r="Y30" s="49">
        <v>0</v>
      </c>
      <c r="Z30" s="49">
        <v>0</v>
      </c>
      <c r="AA30" s="49">
        <v>18.831209182739258</v>
      </c>
      <c r="AB30" s="49">
        <v>0</v>
      </c>
      <c r="AC30" s="49">
        <v>18.83120839233774</v>
      </c>
      <c r="AD30" s="49">
        <v>324.966461220814</v>
      </c>
      <c r="AE30" s="49">
        <v>9.311755411436543</v>
      </c>
      <c r="AF30" s="49">
        <v>48.16448974609375</v>
      </c>
      <c r="AG30" s="49">
        <v>382.0204548182406</v>
      </c>
      <c r="AH30" s="49">
        <v>268.1436572169652</v>
      </c>
      <c r="AI30" s="48">
        <v>1.4246857777028576</v>
      </c>
      <c r="AJ30" s="49">
        <v>154.80889892578125</v>
      </c>
      <c r="AK30" s="49">
        <v>0</v>
      </c>
      <c r="AL30" s="49">
        <v>0</v>
      </c>
      <c r="AM30" s="49">
        <v>536.829345703125</v>
      </c>
      <c r="AN30" s="49">
        <v>268.1436572169652</v>
      </c>
      <c r="AO30" s="48">
        <v>2.002021312713623</v>
      </c>
    </row>
    <row r="31" spans="1:41" ht="12.75" customHeight="1">
      <c r="A31" t="s">
        <v>177</v>
      </c>
      <c r="B31" t="s">
        <v>177</v>
      </c>
      <c r="C31" s="49">
        <v>45</v>
      </c>
      <c r="D31" s="49">
        <v>749.1776030875044</v>
      </c>
      <c r="E31" s="49">
        <v>312.19</v>
      </c>
      <c r="F31" s="49">
        <v>0</v>
      </c>
      <c r="G31" s="49">
        <v>0</v>
      </c>
      <c r="H31" s="49" t="s">
        <v>169</v>
      </c>
      <c r="I31" s="49">
        <v>0.21</v>
      </c>
      <c r="J31" s="49">
        <v>0.4009999930858612</v>
      </c>
      <c r="K31" s="49">
        <v>806.3023953229266</v>
      </c>
      <c r="L31" s="60">
        <v>0.1757595428080055</v>
      </c>
      <c r="M31" s="49">
        <v>0.4383031068291621</v>
      </c>
      <c r="P31" s="49">
        <v>312.1942666165618</v>
      </c>
      <c r="Q31" s="49">
        <v>0</v>
      </c>
      <c r="R31" s="49">
        <v>0</v>
      </c>
      <c r="S31" s="49">
        <v>0</v>
      </c>
      <c r="T31" s="49">
        <v>0</v>
      </c>
      <c r="U31" s="49">
        <v>0</v>
      </c>
      <c r="V31" s="49">
        <v>312.1942666165618</v>
      </c>
      <c r="W31" s="49">
        <v>0</v>
      </c>
      <c r="X31" s="49">
        <v>312.1942666165618</v>
      </c>
      <c r="Y31" s="49">
        <v>0</v>
      </c>
      <c r="Z31" s="49">
        <v>0</v>
      </c>
      <c r="AA31" s="49">
        <v>20.992612838745117</v>
      </c>
      <c r="AB31" s="49">
        <v>0</v>
      </c>
      <c r="AC31" s="49">
        <v>20.9926136188586</v>
      </c>
      <c r="AD31" s="49">
        <v>339.39669802969195</v>
      </c>
      <c r="AE31" s="49">
        <v>9.725246807405755</v>
      </c>
      <c r="AF31" s="49">
        <v>50.30324935913086</v>
      </c>
      <c r="AG31" s="49">
        <v>398.9841924242343</v>
      </c>
      <c r="AH31" s="49">
        <v>312.1942666165618</v>
      </c>
      <c r="AI31" s="48">
        <v>1.2779997427507799</v>
      </c>
      <c r="AJ31" s="49">
        <v>161.68325805664062</v>
      </c>
      <c r="AK31" s="49">
        <v>0</v>
      </c>
      <c r="AL31" s="49">
        <v>0</v>
      </c>
      <c r="AM31" s="49">
        <v>560.66748046875</v>
      </c>
      <c r="AN31" s="49">
        <v>312.1942666165618</v>
      </c>
      <c r="AO31" s="48">
        <v>1.7958929538726807</v>
      </c>
    </row>
    <row r="32" spans="1:41" ht="12.75" customHeight="1">
      <c r="A32" t="s">
        <v>485</v>
      </c>
      <c r="B32" t="s">
        <v>485</v>
      </c>
      <c r="C32" s="49">
        <v>45</v>
      </c>
      <c r="D32" s="49">
        <v>273.84864708460736</v>
      </c>
      <c r="E32" s="49">
        <v>133.8</v>
      </c>
      <c r="F32" s="49">
        <v>0</v>
      </c>
      <c r="G32" s="49">
        <v>0</v>
      </c>
      <c r="H32" s="49" t="s">
        <v>169</v>
      </c>
      <c r="I32" s="49">
        <v>0.21</v>
      </c>
      <c r="J32" s="49">
        <v>0.4009999930858612</v>
      </c>
      <c r="K32" s="49">
        <v>294.72960642480865</v>
      </c>
      <c r="L32" s="60">
        <v>0.06424579807487871</v>
      </c>
      <c r="M32" s="49">
        <v>0.1602139630489284</v>
      </c>
      <c r="P32" s="49">
        <v>133.797528549952</v>
      </c>
      <c r="Q32" s="49">
        <v>0</v>
      </c>
      <c r="R32" s="49">
        <v>0</v>
      </c>
      <c r="S32" s="49">
        <v>0</v>
      </c>
      <c r="T32" s="49">
        <v>0</v>
      </c>
      <c r="U32" s="49">
        <v>0</v>
      </c>
      <c r="V32" s="49">
        <v>133.797528549952</v>
      </c>
      <c r="W32" s="49">
        <v>0</v>
      </c>
      <c r="X32" s="49">
        <v>133.797528549952</v>
      </c>
      <c r="Y32" s="49">
        <v>0</v>
      </c>
      <c r="Z32" s="49">
        <v>0</v>
      </c>
      <c r="AA32" s="49">
        <v>24.612960815429688</v>
      </c>
      <c r="AB32" s="49">
        <v>0</v>
      </c>
      <c r="AC32" s="49">
        <v>24.61296117149723</v>
      </c>
      <c r="AD32" s="49">
        <v>124.06047137204433</v>
      </c>
      <c r="AE32" s="49">
        <v>3.5548922842810793</v>
      </c>
      <c r="AF32" s="49">
        <v>18.38746452331543</v>
      </c>
      <c r="AG32" s="49">
        <v>145.84162776718213</v>
      </c>
      <c r="AH32" s="49">
        <v>133.797528549952</v>
      </c>
      <c r="AI32" s="48">
        <v>1.0900173519478245</v>
      </c>
      <c r="AJ32" s="49">
        <v>59.1004524230957</v>
      </c>
      <c r="AK32" s="49">
        <v>0</v>
      </c>
      <c r="AL32" s="49">
        <v>0</v>
      </c>
      <c r="AM32" s="49">
        <v>204.94207763671875</v>
      </c>
      <c r="AN32" s="49">
        <v>133.797528549952</v>
      </c>
      <c r="AO32" s="48">
        <v>1.5317329168319702</v>
      </c>
    </row>
    <row r="33" spans="1:41" ht="12.75" customHeight="1">
      <c r="A33" t="s">
        <v>176</v>
      </c>
      <c r="B33" t="s">
        <v>176</v>
      </c>
      <c r="C33" s="49">
        <v>45</v>
      </c>
      <c r="D33" s="49">
        <v>604.0571645372711</v>
      </c>
      <c r="E33" s="49">
        <v>337.5</v>
      </c>
      <c r="F33" s="49">
        <v>0</v>
      </c>
      <c r="G33" s="49">
        <v>0</v>
      </c>
      <c r="H33" s="49" t="s">
        <v>169</v>
      </c>
      <c r="I33" s="49">
        <v>0.21</v>
      </c>
      <c r="J33" s="49">
        <v>0.4009999930858612</v>
      </c>
      <c r="K33" s="49">
        <v>650.116523333238</v>
      </c>
      <c r="L33" s="60">
        <v>0.1417138080896024</v>
      </c>
      <c r="M33" s="49">
        <v>0.35340102377323224</v>
      </c>
      <c r="P33" s="49">
        <v>337.500072016359</v>
      </c>
      <c r="Q33" s="49">
        <v>0</v>
      </c>
      <c r="R33" s="49">
        <v>0</v>
      </c>
      <c r="S33" s="49">
        <v>0</v>
      </c>
      <c r="T33" s="49">
        <v>0</v>
      </c>
      <c r="U33" s="49">
        <v>0</v>
      </c>
      <c r="V33" s="49">
        <v>337.500072016359</v>
      </c>
      <c r="W33" s="49">
        <v>0</v>
      </c>
      <c r="X33" s="49">
        <v>337.500072016359</v>
      </c>
      <c r="Y33" s="49">
        <v>0</v>
      </c>
      <c r="Z33" s="49">
        <v>0</v>
      </c>
      <c r="AA33" s="49">
        <v>28.146358489990234</v>
      </c>
      <c r="AB33" s="49">
        <v>0</v>
      </c>
      <c r="AC33" s="49">
        <v>28.146357851519895</v>
      </c>
      <c r="AD33" s="49">
        <v>273.6534117146886</v>
      </c>
      <c r="AE33" s="49">
        <v>7.841405010903017</v>
      </c>
      <c r="AF33" s="49">
        <v>40.55918884277344</v>
      </c>
      <c r="AG33" s="49">
        <v>321.6984286279321</v>
      </c>
      <c r="AH33" s="49">
        <v>337.500072016359</v>
      </c>
      <c r="AI33" s="69">
        <v>0.9531803258766091</v>
      </c>
      <c r="AJ33" s="49">
        <v>130.36415100097656</v>
      </c>
      <c r="AK33" s="49">
        <v>0</v>
      </c>
      <c r="AL33" s="49">
        <v>0</v>
      </c>
      <c r="AM33" s="49">
        <v>452.0625915527344</v>
      </c>
      <c r="AN33" s="49">
        <v>337.500072016359</v>
      </c>
      <c r="AO33" s="48">
        <v>1.3394443988800049</v>
      </c>
    </row>
    <row r="34" spans="1:41" ht="12.75" customHeight="1">
      <c r="A34" t="s">
        <v>488</v>
      </c>
      <c r="B34" t="s">
        <v>488</v>
      </c>
      <c r="C34" s="49">
        <v>45</v>
      </c>
      <c r="D34" s="49">
        <v>4094.6907282668662</v>
      </c>
      <c r="E34" s="49">
        <v>2385.84</v>
      </c>
      <c r="F34" s="49">
        <v>0</v>
      </c>
      <c r="G34" s="49">
        <v>0</v>
      </c>
      <c r="H34" s="49" t="s">
        <v>169</v>
      </c>
      <c r="I34" s="49">
        <v>0.21</v>
      </c>
      <c r="J34" s="49">
        <v>0.4009999930858612</v>
      </c>
      <c r="K34" s="49">
        <v>4406.910896297215</v>
      </c>
      <c r="L34" s="60">
        <v>0.9606279837710315</v>
      </c>
      <c r="M34" s="49">
        <v>2.39558104821549</v>
      </c>
      <c r="P34" s="49">
        <v>2385.8429090953564</v>
      </c>
      <c r="Q34" s="49">
        <v>0</v>
      </c>
      <c r="R34" s="49">
        <v>0</v>
      </c>
      <c r="S34" s="49">
        <v>0</v>
      </c>
      <c r="T34" s="49">
        <v>0</v>
      </c>
      <c r="U34" s="49">
        <v>0</v>
      </c>
      <c r="V34" s="49">
        <v>2385.8429090953564</v>
      </c>
      <c r="W34" s="49">
        <v>0</v>
      </c>
      <c r="X34" s="49">
        <v>2385.8429090953564</v>
      </c>
      <c r="Y34" s="49">
        <v>0</v>
      </c>
      <c r="Z34" s="49">
        <v>0</v>
      </c>
      <c r="AA34" s="49">
        <v>29.352636337280273</v>
      </c>
      <c r="AB34" s="49">
        <v>0</v>
      </c>
      <c r="AC34" s="49">
        <v>29.35263639578899</v>
      </c>
      <c r="AD34" s="49">
        <v>1855.0000786185399</v>
      </c>
      <c r="AE34" s="49">
        <v>53.15412229126672</v>
      </c>
      <c r="AF34" s="49">
        <v>274.93646240234375</v>
      </c>
      <c r="AG34" s="49">
        <v>2180.680332491405</v>
      </c>
      <c r="AH34" s="49">
        <v>2385.8429090953564</v>
      </c>
      <c r="AI34" s="69">
        <v>0.9140083465588507</v>
      </c>
      <c r="AJ34" s="49">
        <v>883.6928100585938</v>
      </c>
      <c r="AK34" s="49">
        <v>0</v>
      </c>
      <c r="AL34" s="49">
        <v>0</v>
      </c>
      <c r="AM34" s="49">
        <v>3064.373046875</v>
      </c>
      <c r="AN34" s="49">
        <v>2385.8429090953564</v>
      </c>
      <c r="AO34" s="48">
        <v>1.2843985557556152</v>
      </c>
    </row>
    <row r="35" spans="1:41" ht="12.75" customHeight="1">
      <c r="A35" t="s">
        <v>179</v>
      </c>
      <c r="B35" t="s">
        <v>179</v>
      </c>
      <c r="C35" s="49">
        <v>45</v>
      </c>
      <c r="D35" s="49">
        <v>189.70723220041964</v>
      </c>
      <c r="E35" s="49">
        <v>175.5</v>
      </c>
      <c r="F35" s="49">
        <v>0</v>
      </c>
      <c r="G35" s="49">
        <v>0</v>
      </c>
      <c r="H35" s="49" t="s">
        <v>169</v>
      </c>
      <c r="I35" s="49">
        <v>0.21</v>
      </c>
      <c r="J35" s="49">
        <v>0.4009999930858612</v>
      </c>
      <c r="K35" s="49">
        <v>204.17240865570162</v>
      </c>
      <c r="L35" s="60">
        <v>0.04450594393306153</v>
      </c>
      <c r="M35" s="49">
        <v>0.11098739326793958</v>
      </c>
      <c r="P35" s="49">
        <v>175.50003744850667</v>
      </c>
      <c r="Q35" s="49">
        <v>0</v>
      </c>
      <c r="R35" s="49">
        <v>0</v>
      </c>
      <c r="S35" s="49">
        <v>0</v>
      </c>
      <c r="T35" s="49">
        <v>0</v>
      </c>
      <c r="U35" s="49">
        <v>0</v>
      </c>
      <c r="V35" s="49">
        <v>175.50003744850667</v>
      </c>
      <c r="W35" s="49">
        <v>0</v>
      </c>
      <c r="X35" s="49">
        <v>175.50003744850667</v>
      </c>
      <c r="Y35" s="49">
        <v>0</v>
      </c>
      <c r="Z35" s="49">
        <v>0</v>
      </c>
      <c r="AA35" s="49">
        <v>46.6036262512207</v>
      </c>
      <c r="AB35" s="49">
        <v>0</v>
      </c>
      <c r="AC35" s="49">
        <v>46.60362516330827</v>
      </c>
      <c r="AD35" s="49">
        <v>85.94224912200687</v>
      </c>
      <c r="AE35" s="49">
        <v>2.4626332216760383</v>
      </c>
      <c r="AF35" s="49">
        <v>12.737821578979492</v>
      </c>
      <c r="AG35" s="49">
        <v>101.03103317167395</v>
      </c>
      <c r="AH35" s="49">
        <v>175.50003744850667</v>
      </c>
      <c r="AI35" s="69">
        <v>0.5756752798489709</v>
      </c>
      <c r="AJ35" s="49">
        <v>40.94154357910156</v>
      </c>
      <c r="AK35" s="49">
        <v>0</v>
      </c>
      <c r="AL35" s="49">
        <v>0</v>
      </c>
      <c r="AM35" s="49">
        <v>141.9725799560547</v>
      </c>
      <c r="AN35" s="49">
        <v>175.50003744850667</v>
      </c>
      <c r="AO35" s="69">
        <v>0.8089603781700134</v>
      </c>
    </row>
    <row r="36" spans="1:41" ht="12.75" customHeight="1">
      <c r="A36" t="s">
        <v>178</v>
      </c>
      <c r="B36" t="s">
        <v>178</v>
      </c>
      <c r="C36" s="49">
        <v>45</v>
      </c>
      <c r="D36" s="49">
        <v>165.94053252271078</v>
      </c>
      <c r="E36" s="49">
        <v>171.96</v>
      </c>
      <c r="F36" s="49">
        <v>0</v>
      </c>
      <c r="G36" s="49">
        <v>0</v>
      </c>
      <c r="H36" s="49" t="s">
        <v>169</v>
      </c>
      <c r="I36" s="49">
        <v>0.21</v>
      </c>
      <c r="J36" s="49">
        <v>0.4009999930858612</v>
      </c>
      <c r="K36" s="49">
        <v>178.59349812756747</v>
      </c>
      <c r="L36" s="60">
        <v>0.03893019760509585</v>
      </c>
      <c r="M36" s="49">
        <v>0.09708278871905168</v>
      </c>
      <c r="P36" s="49">
        <v>171.96013669315644</v>
      </c>
      <c r="Q36" s="49">
        <v>0</v>
      </c>
      <c r="R36" s="49">
        <v>0</v>
      </c>
      <c r="S36" s="49">
        <v>0</v>
      </c>
      <c r="T36" s="49">
        <v>0</v>
      </c>
      <c r="U36" s="49">
        <v>0</v>
      </c>
      <c r="V36" s="49">
        <v>171.96013669315644</v>
      </c>
      <c r="W36" s="49">
        <v>0</v>
      </c>
      <c r="X36" s="49">
        <v>171.96013669315644</v>
      </c>
      <c r="Y36" s="49">
        <v>0</v>
      </c>
      <c r="Z36" s="49">
        <v>0</v>
      </c>
      <c r="AA36" s="49">
        <v>52.2037467956543</v>
      </c>
      <c r="AB36" s="49">
        <v>0</v>
      </c>
      <c r="AC36" s="49">
        <v>52.20374709946081</v>
      </c>
      <c r="AD36" s="49">
        <v>75.17532368211825</v>
      </c>
      <c r="AE36" s="49">
        <v>2.1541122258392034</v>
      </c>
      <c r="AF36" s="49">
        <v>11.142014503479004</v>
      </c>
      <c r="AG36" s="49">
        <v>88.37376987669197</v>
      </c>
      <c r="AH36" s="49">
        <v>171.96013669315644</v>
      </c>
      <c r="AI36" s="69">
        <v>0.5139200955299602</v>
      </c>
      <c r="AJ36" s="49">
        <v>35.81233215332031</v>
      </c>
      <c r="AK36" s="49">
        <v>0</v>
      </c>
      <c r="AL36" s="49">
        <v>0</v>
      </c>
      <c r="AM36" s="49">
        <v>124.18610382080078</v>
      </c>
      <c r="AN36" s="49">
        <v>171.96013669315644</v>
      </c>
      <c r="AO36" s="69">
        <v>0.7221795916557312</v>
      </c>
    </row>
    <row r="37" spans="1:41" ht="12.75" customHeight="1">
      <c r="A37" t="s">
        <v>500</v>
      </c>
      <c r="B37" t="s">
        <v>489</v>
      </c>
      <c r="C37" s="49">
        <v>45</v>
      </c>
      <c r="D37" s="49">
        <v>494.43437152064234</v>
      </c>
      <c r="E37" s="49">
        <v>715.2</v>
      </c>
      <c r="F37" s="49">
        <v>0</v>
      </c>
      <c r="G37" s="49">
        <v>0</v>
      </c>
      <c r="H37" s="49" t="s">
        <v>169</v>
      </c>
      <c r="I37" s="49">
        <v>0.21</v>
      </c>
      <c r="J37" s="49">
        <v>0.4009999930858612</v>
      </c>
      <c r="K37" s="49">
        <v>532.1349923490912</v>
      </c>
      <c r="L37" s="60">
        <v>0.11599593838482844</v>
      </c>
      <c r="M37" s="49">
        <v>0.2892666842515173</v>
      </c>
      <c r="P37" s="49">
        <v>715.2001526106666</v>
      </c>
      <c r="Q37" s="49">
        <v>0</v>
      </c>
      <c r="R37" s="49">
        <v>0</v>
      </c>
      <c r="S37" s="49">
        <v>0</v>
      </c>
      <c r="T37" s="49">
        <v>0</v>
      </c>
      <c r="U37" s="49">
        <v>0</v>
      </c>
      <c r="V37" s="49">
        <v>715.2001526106666</v>
      </c>
      <c r="W37" s="49">
        <v>0</v>
      </c>
      <c r="X37" s="49">
        <v>715.2001526106666</v>
      </c>
      <c r="Y37" s="49">
        <v>0</v>
      </c>
      <c r="Z37" s="49">
        <v>0</v>
      </c>
      <c r="AA37" s="49">
        <v>72.86942291259766</v>
      </c>
      <c r="AB37" s="49">
        <v>0</v>
      </c>
      <c r="AC37" s="49">
        <v>72.86942110796547</v>
      </c>
      <c r="AD37" s="49">
        <v>223.99147064049583</v>
      </c>
      <c r="AE37" s="49">
        <v>6.418366316993546</v>
      </c>
      <c r="AF37" s="49">
        <v>33.1986083984375</v>
      </c>
      <c r="AG37" s="49">
        <v>263.3173976349634</v>
      </c>
      <c r="AH37" s="49">
        <v>715.2001526106666</v>
      </c>
      <c r="AI37" s="69">
        <v>0.36817301656576334</v>
      </c>
      <c r="AJ37" s="49">
        <v>106.70600891113281</v>
      </c>
      <c r="AK37" s="49">
        <v>0</v>
      </c>
      <c r="AL37" s="49">
        <v>0</v>
      </c>
      <c r="AM37" s="49">
        <v>370.0234069824219</v>
      </c>
      <c r="AN37" s="49">
        <v>715.2001526106666</v>
      </c>
      <c r="AO37" s="69">
        <v>0.5173704028129578</v>
      </c>
    </row>
    <row r="38" spans="1:41" ht="12.75" customHeight="1">
      <c r="A38" t="s">
        <v>180</v>
      </c>
      <c r="B38" t="s">
        <v>180</v>
      </c>
      <c r="C38" s="49">
        <v>45</v>
      </c>
      <c r="D38" s="49">
        <v>386.09645473193814</v>
      </c>
      <c r="E38" s="49">
        <v>600.47</v>
      </c>
      <c r="F38" s="49">
        <v>0</v>
      </c>
      <c r="G38" s="49">
        <v>0</v>
      </c>
      <c r="H38" s="49" t="s">
        <v>169</v>
      </c>
      <c r="I38" s="49">
        <v>0.21</v>
      </c>
      <c r="J38" s="49">
        <v>0.4009999930858612</v>
      </c>
      <c r="K38" s="49">
        <v>415.5363094052484</v>
      </c>
      <c r="L38" s="60">
        <v>0.09057950489151385</v>
      </c>
      <c r="M38" s="49">
        <v>0.2258840559932857</v>
      </c>
      <c r="P38" s="49">
        <v>600.4689281291161</v>
      </c>
      <c r="Q38" s="49">
        <v>0</v>
      </c>
      <c r="R38" s="49">
        <v>0</v>
      </c>
      <c r="S38" s="49">
        <v>0</v>
      </c>
      <c r="T38" s="49">
        <v>0</v>
      </c>
      <c r="U38" s="49">
        <v>0</v>
      </c>
      <c r="V38" s="49">
        <v>600.4689281291161</v>
      </c>
      <c r="W38" s="49">
        <v>0</v>
      </c>
      <c r="X38" s="49">
        <v>600.4689281291161</v>
      </c>
      <c r="Y38" s="49">
        <v>0</v>
      </c>
      <c r="Z38" s="49">
        <v>0</v>
      </c>
      <c r="AA38" s="49">
        <v>78.34677124023438</v>
      </c>
      <c r="AB38" s="49">
        <v>0</v>
      </c>
      <c r="AC38" s="49">
        <v>78.34677069253098</v>
      </c>
      <c r="AD38" s="49">
        <v>174.91161150166496</v>
      </c>
      <c r="AE38" s="49">
        <v>5.012006896973254</v>
      </c>
      <c r="AF38" s="49">
        <v>25.924301147460938</v>
      </c>
      <c r="AG38" s="49">
        <v>205.62064470499905</v>
      </c>
      <c r="AH38" s="49">
        <v>600.4689281291161</v>
      </c>
      <c r="AI38" s="69">
        <v>0.3424334467158064</v>
      </c>
      <c r="AJ38" s="49">
        <v>83.32512664794922</v>
      </c>
      <c r="AK38" s="49">
        <v>0</v>
      </c>
      <c r="AL38" s="49">
        <v>0</v>
      </c>
      <c r="AM38" s="49">
        <v>288.9457702636719</v>
      </c>
      <c r="AN38" s="49">
        <v>600.4689281291161</v>
      </c>
      <c r="AO38" s="69">
        <v>0.4812001883983612</v>
      </c>
    </row>
    <row r="39" spans="1:41" ht="12.75" customHeight="1">
      <c r="A39" t="s">
        <v>490</v>
      </c>
      <c r="B39" t="s">
        <v>490</v>
      </c>
      <c r="C39" s="49">
        <v>45</v>
      </c>
      <c r="D39" s="49">
        <v>416.11990169937053</v>
      </c>
      <c r="E39" s="49">
        <v>675</v>
      </c>
      <c r="F39" s="49">
        <v>0</v>
      </c>
      <c r="G39" s="49">
        <v>0</v>
      </c>
      <c r="H39" s="49" t="s">
        <v>169</v>
      </c>
      <c r="I39" s="49">
        <v>0.21</v>
      </c>
      <c r="J39" s="49">
        <v>0.4009999930858612</v>
      </c>
      <c r="K39" s="49">
        <v>447.8490442039475</v>
      </c>
      <c r="L39" s="60">
        <v>0.09762310482131578</v>
      </c>
      <c r="M39" s="49">
        <v>0.24344914340288515</v>
      </c>
      <c r="P39" s="49">
        <v>675.000144032718</v>
      </c>
      <c r="Q39" s="49">
        <v>0</v>
      </c>
      <c r="R39" s="49">
        <v>0</v>
      </c>
      <c r="S39" s="49">
        <v>0</v>
      </c>
      <c r="T39" s="49">
        <v>0</v>
      </c>
      <c r="U39" s="49">
        <v>0</v>
      </c>
      <c r="V39" s="49">
        <v>675.000144032718</v>
      </c>
      <c r="W39" s="49">
        <v>0</v>
      </c>
      <c r="X39" s="49">
        <v>675.000144032718</v>
      </c>
      <c r="Y39" s="49">
        <v>0</v>
      </c>
      <c r="Z39" s="49">
        <v>0</v>
      </c>
      <c r="AA39" s="49">
        <v>81.71687316894531</v>
      </c>
      <c r="AB39" s="49">
        <v>0</v>
      </c>
      <c r="AC39" s="49">
        <v>81.71687557555812</v>
      </c>
      <c r="AD39" s="49">
        <v>188.51300417840997</v>
      </c>
      <c r="AE39" s="49">
        <v>5.401748168687743</v>
      </c>
      <c r="AF39" s="49">
        <v>27.940214157104492</v>
      </c>
      <c r="AG39" s="49">
        <v>221.6100184261294</v>
      </c>
      <c r="AH39" s="49">
        <v>675.000144032718</v>
      </c>
      <c r="AI39" s="69">
        <v>0.3283110683534724</v>
      </c>
      <c r="AJ39" s="49">
        <v>89.80461883544922</v>
      </c>
      <c r="AK39" s="49">
        <v>0</v>
      </c>
      <c r="AL39" s="49">
        <v>0</v>
      </c>
      <c r="AM39" s="49">
        <v>311.4146423339844</v>
      </c>
      <c r="AN39" s="49">
        <v>675.000144032718</v>
      </c>
      <c r="AO39" s="69">
        <v>0.46135494112968445</v>
      </c>
    </row>
    <row r="40" spans="1:41" ht="12.75" customHeight="1">
      <c r="A40" t="s">
        <v>486</v>
      </c>
      <c r="B40" t="s">
        <v>486</v>
      </c>
      <c r="C40" s="49">
        <v>45</v>
      </c>
      <c r="D40" s="49">
        <v>40.95169425724998</v>
      </c>
      <c r="E40" s="49">
        <v>73.7</v>
      </c>
      <c r="F40" s="49">
        <v>0</v>
      </c>
      <c r="G40" s="49">
        <v>0</v>
      </c>
      <c r="H40" s="49" t="s">
        <v>169</v>
      </c>
      <c r="I40" s="49">
        <v>0.21</v>
      </c>
      <c r="J40" s="49">
        <v>0.4009999930858612</v>
      </c>
      <c r="K40" s="49">
        <v>44.07426094436529</v>
      </c>
      <c r="L40" s="60">
        <v>0.00960740287777502</v>
      </c>
      <c r="M40" s="49">
        <v>0.023958611080868285</v>
      </c>
      <c r="P40" s="49">
        <v>73.69721572564151</v>
      </c>
      <c r="Q40" s="49">
        <v>0</v>
      </c>
      <c r="R40" s="49">
        <v>0</v>
      </c>
      <c r="S40" s="49">
        <v>0</v>
      </c>
      <c r="T40" s="49">
        <v>0</v>
      </c>
      <c r="U40" s="49">
        <v>0</v>
      </c>
      <c r="V40" s="49">
        <v>73.69721572564151</v>
      </c>
      <c r="W40" s="49">
        <v>0</v>
      </c>
      <c r="X40" s="49">
        <v>73.69721572564151</v>
      </c>
      <c r="Y40" s="49">
        <v>0</v>
      </c>
      <c r="Z40" s="49">
        <v>0</v>
      </c>
      <c r="AA40" s="49">
        <v>90.65788269042969</v>
      </c>
      <c r="AB40" s="49">
        <v>0</v>
      </c>
      <c r="AC40" s="49">
        <v>90.65788464427133</v>
      </c>
      <c r="AD40" s="49">
        <v>18.552169408631883</v>
      </c>
      <c r="AE40" s="49">
        <v>0.531603363730909</v>
      </c>
      <c r="AF40" s="49">
        <v>2.749685764312744</v>
      </c>
      <c r="AG40" s="49">
        <v>21.80935241062587</v>
      </c>
      <c r="AH40" s="49">
        <v>73.69721572564151</v>
      </c>
      <c r="AI40" s="69">
        <v>0.2959318367171059</v>
      </c>
      <c r="AJ40" s="49">
        <v>8.837958335876465</v>
      </c>
      <c r="AK40" s="49">
        <v>0</v>
      </c>
      <c r="AL40" s="49">
        <v>0</v>
      </c>
      <c r="AM40" s="49">
        <v>30.647310256958008</v>
      </c>
      <c r="AN40" s="49">
        <v>73.69721572564151</v>
      </c>
      <c r="AO40" s="69">
        <v>0.41585439443588257</v>
      </c>
    </row>
    <row r="41" spans="3:41" ht="12.75" customHeight="1">
      <c r="C41" s="49"/>
      <c r="D41" s="49"/>
      <c r="E41" s="49"/>
      <c r="F41" s="49"/>
      <c r="G41" s="49"/>
      <c r="H41" s="49"/>
      <c r="I41" s="49"/>
      <c r="J41" s="49"/>
      <c r="K41" s="49"/>
      <c r="L41" s="60"/>
      <c r="M41" s="49"/>
      <c r="S41" s="49"/>
      <c r="T41" s="49"/>
      <c r="U41" s="49"/>
      <c r="W41" s="49"/>
      <c r="X41" s="49"/>
      <c r="Y41" s="49"/>
      <c r="Z41" s="49"/>
      <c r="AA41" s="49"/>
      <c r="AB41" s="49"/>
      <c r="AC41" s="49"/>
      <c r="AD41" s="49"/>
      <c r="AE41" s="49"/>
      <c r="AF41" s="49"/>
      <c r="AG41" s="49"/>
      <c r="AH41" s="49"/>
      <c r="AI41" s="49"/>
      <c r="AJ41" s="49"/>
      <c r="AK41" s="49"/>
      <c r="AL41" s="49"/>
      <c r="AM41" s="49"/>
      <c r="AN41" s="49"/>
      <c r="AO41" s="61"/>
    </row>
    <row r="42" spans="3:41" ht="12.75" customHeight="1" thickBot="1">
      <c r="C42" s="49"/>
      <c r="D42" s="49"/>
      <c r="E42" s="49"/>
      <c r="F42" s="49"/>
      <c r="G42" s="49"/>
      <c r="H42" s="49"/>
      <c r="I42" s="49"/>
      <c r="J42" s="49"/>
      <c r="K42" s="49"/>
      <c r="L42" s="49"/>
      <c r="M42" s="49"/>
      <c r="S42" s="49"/>
      <c r="T42" s="49"/>
      <c r="U42" s="49"/>
      <c r="W42" s="49"/>
      <c r="X42" s="49"/>
      <c r="Y42" s="49"/>
      <c r="Z42" s="49"/>
      <c r="AA42" s="49"/>
      <c r="AB42" s="49"/>
      <c r="AC42" s="49"/>
      <c r="AD42" s="49"/>
      <c r="AE42" s="49"/>
      <c r="AF42" s="49"/>
      <c r="AG42" s="49"/>
      <c r="AH42" s="49"/>
      <c r="AI42" s="49"/>
      <c r="AJ42" s="49"/>
      <c r="AK42" s="49"/>
      <c r="AL42" s="49"/>
      <c r="AM42" s="49"/>
      <c r="AN42" s="49"/>
      <c r="AO42" s="49"/>
    </row>
    <row r="43" spans="1:41" ht="12.75" customHeight="1" thickBot="1">
      <c r="A43" s="62" t="s">
        <v>137</v>
      </c>
      <c r="B43" s="71"/>
      <c r="C43" s="72" t="s">
        <v>106</v>
      </c>
      <c r="D43" s="63"/>
      <c r="E43" s="63"/>
      <c r="F43" s="63"/>
      <c r="G43" s="63"/>
      <c r="H43" s="63"/>
      <c r="I43" s="63"/>
      <c r="J43" s="64"/>
      <c r="K43" s="72" t="s">
        <v>50</v>
      </c>
      <c r="L43" s="63"/>
      <c r="M43" s="64"/>
      <c r="N43" s="72" t="s">
        <v>107</v>
      </c>
      <c r="O43" s="63"/>
      <c r="P43" s="63"/>
      <c r="Q43" s="63"/>
      <c r="R43" s="73" t="s">
        <v>108</v>
      </c>
      <c r="S43" s="72" t="s">
        <v>84</v>
      </c>
      <c r="T43" s="63"/>
      <c r="U43" s="63"/>
      <c r="V43" s="63"/>
      <c r="W43" s="63"/>
      <c r="X43" s="64"/>
      <c r="Y43" s="72" t="s">
        <v>85</v>
      </c>
      <c r="Z43" s="63"/>
      <c r="AA43" s="63"/>
      <c r="AB43" s="63"/>
      <c r="AC43" s="63"/>
      <c r="AD43" s="64"/>
      <c r="AE43" s="49"/>
      <c r="AF43" s="49"/>
      <c r="AG43" s="49"/>
      <c r="AH43" s="49"/>
      <c r="AI43" s="49"/>
      <c r="AJ43" s="49"/>
      <c r="AK43" s="49"/>
      <c r="AL43" s="49"/>
      <c r="AM43" s="49"/>
      <c r="AN43" s="49"/>
      <c r="AO43" s="49"/>
    </row>
    <row r="44" spans="1:41" ht="51">
      <c r="A44" s="57"/>
      <c r="B44" s="58" t="s">
        <v>56</v>
      </c>
      <c r="C44" s="59" t="s">
        <v>109</v>
      </c>
      <c r="D44" s="59" t="s">
        <v>87</v>
      </c>
      <c r="E44" s="59" t="s">
        <v>88</v>
      </c>
      <c r="F44" s="59" t="s">
        <v>89</v>
      </c>
      <c r="G44" s="59" t="s">
        <v>90</v>
      </c>
      <c r="H44" s="59" t="s">
        <v>91</v>
      </c>
      <c r="I44" s="59" t="s">
        <v>110</v>
      </c>
      <c r="J44" s="59" t="s">
        <v>111</v>
      </c>
      <c r="K44" s="59" t="s">
        <v>94</v>
      </c>
      <c r="L44" s="59" t="s">
        <v>95</v>
      </c>
      <c r="M44" s="59" t="s">
        <v>96</v>
      </c>
      <c r="N44" s="59" t="s">
        <v>51</v>
      </c>
      <c r="O44" s="59" t="s">
        <v>112</v>
      </c>
      <c r="P44" s="59" t="s">
        <v>113</v>
      </c>
      <c r="Q44" s="59" t="s">
        <v>114</v>
      </c>
      <c r="R44" s="59" t="s">
        <v>115</v>
      </c>
      <c r="S44" s="59" t="s">
        <v>97</v>
      </c>
      <c r="T44" s="59" t="s">
        <v>98</v>
      </c>
      <c r="U44" s="59" t="s">
        <v>61</v>
      </c>
      <c r="V44" s="59" t="s">
        <v>99</v>
      </c>
      <c r="W44" s="59" t="s">
        <v>100</v>
      </c>
      <c r="X44" s="59" t="s">
        <v>101</v>
      </c>
      <c r="Y44" s="59" t="s">
        <v>102</v>
      </c>
      <c r="Z44" s="59" t="s">
        <v>59</v>
      </c>
      <c r="AA44" s="59" t="s">
        <v>60</v>
      </c>
      <c r="AB44" s="59" t="s">
        <v>103</v>
      </c>
      <c r="AC44" s="59" t="s">
        <v>104</v>
      </c>
      <c r="AD44" s="59" t="s">
        <v>105</v>
      </c>
      <c r="AE44" s="49"/>
      <c r="AF44" s="49"/>
      <c r="AG44" s="49"/>
      <c r="AH44" s="49"/>
      <c r="AI44" s="49"/>
      <c r="AJ44" s="49"/>
      <c r="AK44" s="49"/>
      <c r="AL44" s="49"/>
      <c r="AM44" s="49"/>
      <c r="AN44" s="49"/>
      <c r="AO44" s="49"/>
    </row>
    <row r="45" spans="2:41" ht="12.75" customHeight="1">
      <c r="B45" t="s">
        <v>483</v>
      </c>
      <c r="C45" s="49">
        <v>45</v>
      </c>
      <c r="D45" s="49">
        <v>2063.1247783308136</v>
      </c>
      <c r="E45" s="49">
        <v>349.11</v>
      </c>
      <c r="F45" s="49">
        <v>0</v>
      </c>
      <c r="G45" s="49">
        <v>0</v>
      </c>
      <c r="H45" s="49"/>
      <c r="I45" s="49">
        <v>0.21</v>
      </c>
      <c r="J45" s="49">
        <v>0.4009999930858612</v>
      </c>
      <c r="K45" s="49">
        <v>2220.438042678538</v>
      </c>
      <c r="L45" s="49">
        <v>0.4840158946301788</v>
      </c>
      <c r="M45" s="49">
        <v>1.2070221900939941</v>
      </c>
      <c r="N45" s="49">
        <v>349.1070744930817</v>
      </c>
      <c r="O45" s="49">
        <v>0</v>
      </c>
      <c r="P45" s="49">
        <v>0</v>
      </c>
      <c r="Q45" s="49">
        <v>349.1070861816406</v>
      </c>
      <c r="R45" s="49">
        <v>8.524316248470765</v>
      </c>
      <c r="S45" s="49">
        <v>934.6485192603013</v>
      </c>
      <c r="T45" s="49">
        <v>26.781896591186523</v>
      </c>
      <c r="U45" s="49">
        <v>138.52774047851562</v>
      </c>
      <c r="V45" s="49">
        <v>1098.7437031617287</v>
      </c>
      <c r="W45" s="49">
        <v>349.1070744930817</v>
      </c>
      <c r="X45" s="48">
        <v>3.147297157346786</v>
      </c>
      <c r="Y45" s="60">
        <v>445.2518310546875</v>
      </c>
      <c r="Z45" s="60">
        <v>0</v>
      </c>
      <c r="AA45" s="60">
        <v>0</v>
      </c>
      <c r="AB45" s="60">
        <v>1543.9954833984375</v>
      </c>
      <c r="AC45" s="60">
        <v>349.1070861816406</v>
      </c>
      <c r="AD45" s="48">
        <v>4.422698974609375</v>
      </c>
      <c r="AE45" s="60"/>
      <c r="AF45" s="60"/>
      <c r="AG45" s="60"/>
      <c r="AH45" s="60"/>
      <c r="AI45" s="60"/>
      <c r="AJ45" s="60"/>
      <c r="AK45" s="60"/>
      <c r="AL45" s="49"/>
      <c r="AM45" s="49"/>
      <c r="AN45" s="49"/>
      <c r="AO45" s="49"/>
    </row>
    <row r="46" spans="2:41" ht="12.75" customHeight="1">
      <c r="B46" t="s">
        <v>172</v>
      </c>
      <c r="C46" s="49">
        <v>45</v>
      </c>
      <c r="D46" s="49">
        <v>3816.110009200973</v>
      </c>
      <c r="E46" s="49">
        <v>814.58</v>
      </c>
      <c r="F46" s="49">
        <v>0</v>
      </c>
      <c r="G46" s="49">
        <v>0</v>
      </c>
      <c r="H46" s="49"/>
      <c r="I46" s="49">
        <v>0.21</v>
      </c>
      <c r="J46" s="49">
        <v>0.4009999930858612</v>
      </c>
      <c r="K46" s="49">
        <v>4107.088397402546</v>
      </c>
      <c r="L46" s="49">
        <v>0.8952720259629495</v>
      </c>
      <c r="M46" s="49">
        <v>2.2325985431671143</v>
      </c>
      <c r="N46" s="49">
        <v>814.5831738171904</v>
      </c>
      <c r="O46" s="49">
        <v>0</v>
      </c>
      <c r="P46" s="49">
        <v>0</v>
      </c>
      <c r="Q46" s="49">
        <v>814.5831909179688</v>
      </c>
      <c r="R46" s="49">
        <v>10.75327942802442</v>
      </c>
      <c r="S46" s="49">
        <v>1728.795857088094</v>
      </c>
      <c r="T46" s="49">
        <v>49.537803649902344</v>
      </c>
      <c r="U46" s="49">
        <v>256.23126220703125</v>
      </c>
      <c r="V46" s="49">
        <v>2032.318576302777</v>
      </c>
      <c r="W46" s="49">
        <v>814.5831738171904</v>
      </c>
      <c r="X46" s="48">
        <v>2.4949184339018426</v>
      </c>
      <c r="Y46" s="60">
        <v>823.5709838867188</v>
      </c>
      <c r="Z46" s="60">
        <v>0</v>
      </c>
      <c r="AA46" s="60">
        <v>0</v>
      </c>
      <c r="AB46" s="60">
        <v>2855.8896484375</v>
      </c>
      <c r="AC46" s="60">
        <v>814.5831909179688</v>
      </c>
      <c r="AD46" s="48">
        <v>3.5059521198272705</v>
      </c>
      <c r="AE46" s="60"/>
      <c r="AF46" s="60"/>
      <c r="AG46" s="60"/>
      <c r="AH46" s="60"/>
      <c r="AI46" s="60"/>
      <c r="AJ46" s="60"/>
      <c r="AK46" s="60"/>
      <c r="AL46" s="49"/>
      <c r="AM46" s="49"/>
      <c r="AN46" s="49"/>
      <c r="AO46" s="49"/>
    </row>
    <row r="47" spans="2:41" ht="12.75" customHeight="1">
      <c r="B47" t="s">
        <v>173</v>
      </c>
      <c r="C47" s="49">
        <v>45</v>
      </c>
      <c r="D47" s="49">
        <v>2666.166766448534</v>
      </c>
      <c r="E47" s="49">
        <v>810</v>
      </c>
      <c r="F47" s="49">
        <v>0</v>
      </c>
      <c r="G47" s="49">
        <v>0</v>
      </c>
      <c r="H47" s="49"/>
      <c r="I47" s="49">
        <v>0.21</v>
      </c>
      <c r="J47" s="49">
        <v>0.4009999632835388</v>
      </c>
      <c r="K47" s="49">
        <v>2869.4619823902344</v>
      </c>
      <c r="L47" s="49">
        <v>0.6254915389751171</v>
      </c>
      <c r="M47" s="49">
        <v>1.5598293542861938</v>
      </c>
      <c r="N47" s="49">
        <v>810.0001728392616</v>
      </c>
      <c r="O47" s="49">
        <v>0</v>
      </c>
      <c r="P47" s="49">
        <v>0</v>
      </c>
      <c r="Q47" s="49">
        <v>810.0001831054688</v>
      </c>
      <c r="R47" s="49">
        <v>15.304677535578579</v>
      </c>
      <c r="S47" s="49">
        <v>1207.8420299804977</v>
      </c>
      <c r="T47" s="49">
        <v>34.61012268066406</v>
      </c>
      <c r="U47" s="49">
        <v>179.01876831054688</v>
      </c>
      <c r="V47" s="49">
        <v>1419.9014891271904</v>
      </c>
      <c r="W47" s="49">
        <v>810.0001728392616</v>
      </c>
      <c r="X47" s="48">
        <v>1.7529644273408804</v>
      </c>
      <c r="Y47" s="60">
        <v>575.39697265625</v>
      </c>
      <c r="Z47" s="60">
        <v>0</v>
      </c>
      <c r="AA47" s="60">
        <v>0</v>
      </c>
      <c r="AB47" s="60">
        <v>1995.2984619140625</v>
      </c>
      <c r="AC47" s="60">
        <v>810.0001831054688</v>
      </c>
      <c r="AD47" s="48">
        <v>2.4633309841156006</v>
      </c>
      <c r="AE47" s="60"/>
      <c r="AF47" s="60"/>
      <c r="AG47" s="60"/>
      <c r="AH47" s="60"/>
      <c r="AI47" s="60"/>
      <c r="AJ47" s="60"/>
      <c r="AK47" s="60"/>
      <c r="AL47" s="49"/>
      <c r="AM47" s="49"/>
      <c r="AN47" s="49"/>
      <c r="AO47" s="49"/>
    </row>
    <row r="48" spans="2:41" ht="12.75" customHeight="1">
      <c r="B48" t="s">
        <v>171</v>
      </c>
      <c r="C48" s="49">
        <v>45</v>
      </c>
      <c r="D48" s="49">
        <v>2335.720138316092</v>
      </c>
      <c r="E48" s="49">
        <v>816.44</v>
      </c>
      <c r="F48" s="49">
        <v>0</v>
      </c>
      <c r="G48" s="49">
        <v>0</v>
      </c>
      <c r="H48" s="49"/>
      <c r="I48" s="49">
        <v>0.21</v>
      </c>
      <c r="J48" s="49">
        <v>0.4009999930858612</v>
      </c>
      <c r="K48" s="49">
        <v>2513.8187988626937</v>
      </c>
      <c r="L48" s="49">
        <v>0.5479676674076148</v>
      </c>
      <c r="M48" s="49">
        <v>1.3665028810501099</v>
      </c>
      <c r="N48" s="49">
        <v>816.4363742126295</v>
      </c>
      <c r="O48" s="49">
        <v>0</v>
      </c>
      <c r="P48" s="49">
        <v>0</v>
      </c>
      <c r="Q48" s="49">
        <v>816.4364013671875</v>
      </c>
      <c r="R48" s="49">
        <v>17.60872517860669</v>
      </c>
      <c r="S48" s="49">
        <v>1058.1412193836543</v>
      </c>
      <c r="T48" s="49">
        <v>30.320520401000977</v>
      </c>
      <c r="U48" s="49">
        <v>156.8310546875</v>
      </c>
      <c r="V48" s="49">
        <v>1243.9178779024785</v>
      </c>
      <c r="W48" s="49">
        <v>816.4363742126295</v>
      </c>
      <c r="X48" s="48">
        <v>1.5235943879914853</v>
      </c>
      <c r="Y48" s="60">
        <v>504.0818176269531</v>
      </c>
      <c r="Z48" s="60">
        <v>0</v>
      </c>
      <c r="AA48" s="60">
        <v>0</v>
      </c>
      <c r="AB48" s="60">
        <v>1747.999755859375</v>
      </c>
      <c r="AC48" s="60">
        <v>816.4364013671875</v>
      </c>
      <c r="AD48" s="48">
        <v>2.1410114765167236</v>
      </c>
      <c r="AE48" s="60"/>
      <c r="AF48" s="60"/>
      <c r="AG48" s="60"/>
      <c r="AH48" s="60"/>
      <c r="AI48" s="60"/>
      <c r="AJ48" s="60"/>
      <c r="AK48" s="60"/>
      <c r="AL48" s="49"/>
      <c r="AM48" s="49"/>
      <c r="AN48" s="49"/>
      <c r="AO48" s="49"/>
    </row>
    <row r="49" spans="2:41" ht="12.75" customHeight="1">
      <c r="B49" t="s">
        <v>174</v>
      </c>
      <c r="C49" s="49">
        <v>45</v>
      </c>
      <c r="D49" s="49">
        <v>717.3245818671458</v>
      </c>
      <c r="E49" s="49">
        <v>268.14</v>
      </c>
      <c r="F49" s="49">
        <v>0</v>
      </c>
      <c r="G49" s="49">
        <v>0</v>
      </c>
      <c r="H49" s="49"/>
      <c r="I49" s="49">
        <v>0.21</v>
      </c>
      <c r="J49" s="49">
        <v>0.4009999930858612</v>
      </c>
      <c r="K49" s="49">
        <v>772.0205812345156</v>
      </c>
      <c r="L49" s="49">
        <v>0.16828671870905812</v>
      </c>
      <c r="M49" s="49">
        <v>0.41966763138771057</v>
      </c>
      <c r="N49" s="49">
        <v>268.1436572169652</v>
      </c>
      <c r="O49" s="49">
        <v>0</v>
      </c>
      <c r="P49" s="49">
        <v>0</v>
      </c>
      <c r="Q49" s="49">
        <v>268.1436462402344</v>
      </c>
      <c r="R49" s="49">
        <v>18.83120832442965</v>
      </c>
      <c r="S49" s="49">
        <v>324.966461220814</v>
      </c>
      <c r="T49" s="49">
        <v>9.311755180358887</v>
      </c>
      <c r="U49" s="49">
        <v>48.16448974609375</v>
      </c>
      <c r="V49" s="49">
        <v>382.0204548182406</v>
      </c>
      <c r="W49" s="49">
        <v>268.1436572169652</v>
      </c>
      <c r="X49" s="48">
        <v>1.4246857777028576</v>
      </c>
      <c r="Y49" s="60">
        <v>154.80889892578125</v>
      </c>
      <c r="Z49" s="60">
        <v>0</v>
      </c>
      <c r="AA49" s="60">
        <v>0</v>
      </c>
      <c r="AB49" s="60">
        <v>536.829345703125</v>
      </c>
      <c r="AC49" s="60">
        <v>268.1436462402344</v>
      </c>
      <c r="AD49" s="48">
        <v>2.002021551132202</v>
      </c>
      <c r="AE49" s="60"/>
      <c r="AF49" s="60"/>
      <c r="AG49" s="60"/>
      <c r="AH49" s="60"/>
      <c r="AI49" s="60"/>
      <c r="AJ49" s="60"/>
      <c r="AK49" s="60"/>
      <c r="AL49" s="49"/>
      <c r="AM49" s="49"/>
      <c r="AN49" s="49"/>
      <c r="AO49" s="49"/>
    </row>
    <row r="50" spans="2:41" ht="12.75" customHeight="1">
      <c r="B50" t="s">
        <v>177</v>
      </c>
      <c r="C50" s="49">
        <v>45</v>
      </c>
      <c r="D50" s="49">
        <v>749.1776030875044</v>
      </c>
      <c r="E50" s="49">
        <v>312.19</v>
      </c>
      <c r="F50" s="49">
        <v>0</v>
      </c>
      <c r="G50" s="49">
        <v>0</v>
      </c>
      <c r="H50" s="49"/>
      <c r="I50" s="49">
        <v>0.21</v>
      </c>
      <c r="J50" s="49">
        <v>0.4010000228881836</v>
      </c>
      <c r="K50" s="49">
        <v>806.3023953229266</v>
      </c>
      <c r="L50" s="49">
        <v>0.1757595428080055</v>
      </c>
      <c r="M50" s="49">
        <v>0.4383031129837036</v>
      </c>
      <c r="N50" s="49">
        <v>312.1942666165618</v>
      </c>
      <c r="O50" s="49">
        <v>0</v>
      </c>
      <c r="P50" s="49">
        <v>0</v>
      </c>
      <c r="Q50" s="49">
        <v>312.19427490234375</v>
      </c>
      <c r="R50" s="49">
        <v>20.99261460284244</v>
      </c>
      <c r="S50" s="49">
        <v>339.39669802969195</v>
      </c>
      <c r="T50" s="49">
        <v>9.72524642944336</v>
      </c>
      <c r="U50" s="49">
        <v>50.30324935913086</v>
      </c>
      <c r="V50" s="49">
        <v>398.9841924242343</v>
      </c>
      <c r="W50" s="49">
        <v>312.1942666165618</v>
      </c>
      <c r="X50" s="48">
        <v>1.2779997427507799</v>
      </c>
      <c r="Y50" s="60">
        <v>161.68325805664062</v>
      </c>
      <c r="Z50" s="60">
        <v>0</v>
      </c>
      <c r="AA50" s="60">
        <v>0</v>
      </c>
      <c r="AB50" s="60">
        <v>560.66748046875</v>
      </c>
      <c r="AC50" s="60">
        <v>312.19427490234375</v>
      </c>
      <c r="AD50" s="48">
        <v>1.7958929538726807</v>
      </c>
      <c r="AE50" s="60"/>
      <c r="AF50" s="60"/>
      <c r="AG50" s="60"/>
      <c r="AH50" s="60"/>
      <c r="AI50" s="60"/>
      <c r="AJ50" s="60"/>
      <c r="AK50" s="60"/>
      <c r="AL50" s="49"/>
      <c r="AM50" s="49"/>
      <c r="AN50" s="49"/>
      <c r="AO50" s="49"/>
    </row>
    <row r="51" spans="2:41" ht="12.75" customHeight="1">
      <c r="B51" t="s">
        <v>485</v>
      </c>
      <c r="C51" s="49">
        <v>45</v>
      </c>
      <c r="D51" s="49">
        <v>273.84864708460736</v>
      </c>
      <c r="E51" s="49">
        <v>133.8</v>
      </c>
      <c r="F51" s="49">
        <v>0</v>
      </c>
      <c r="G51" s="49">
        <v>0</v>
      </c>
      <c r="H51" s="49"/>
      <c r="I51" s="49">
        <v>0.21</v>
      </c>
      <c r="J51" s="49">
        <v>0.4009999930858612</v>
      </c>
      <c r="K51" s="49">
        <v>294.72960642480865</v>
      </c>
      <c r="L51" s="49">
        <v>0.06424579807487871</v>
      </c>
      <c r="M51" s="49">
        <v>0.16021396219730377</v>
      </c>
      <c r="N51" s="49">
        <v>133.797528549952</v>
      </c>
      <c r="O51" s="49">
        <v>0</v>
      </c>
      <c r="P51" s="49">
        <v>0</v>
      </c>
      <c r="Q51" s="49">
        <v>133.7975311279297</v>
      </c>
      <c r="R51" s="49">
        <v>24.61296166818934</v>
      </c>
      <c r="S51" s="49">
        <v>124.06047137204433</v>
      </c>
      <c r="T51" s="49">
        <v>3.5548923015594482</v>
      </c>
      <c r="U51" s="49">
        <v>18.38746452331543</v>
      </c>
      <c r="V51" s="49">
        <v>145.84162776718213</v>
      </c>
      <c r="W51" s="49">
        <v>133.797528549952</v>
      </c>
      <c r="X51" s="48">
        <v>1.0900173519478245</v>
      </c>
      <c r="Y51" s="60">
        <v>59.1004524230957</v>
      </c>
      <c r="Z51" s="60">
        <v>0</v>
      </c>
      <c r="AA51" s="60">
        <v>0</v>
      </c>
      <c r="AB51" s="60">
        <v>204.94207763671875</v>
      </c>
      <c r="AC51" s="60">
        <v>133.7975311279297</v>
      </c>
      <c r="AD51" s="48">
        <v>1.5317329168319702</v>
      </c>
      <c r="AE51" s="60"/>
      <c r="AF51" s="60"/>
      <c r="AG51" s="60"/>
      <c r="AH51" s="60"/>
      <c r="AI51" s="60"/>
      <c r="AJ51" s="60"/>
      <c r="AK51" s="60"/>
      <c r="AL51" s="49"/>
      <c r="AM51" s="49"/>
      <c r="AN51" s="49"/>
      <c r="AO51" s="49"/>
    </row>
    <row r="52" spans="2:41" ht="12.75" customHeight="1">
      <c r="B52" t="s">
        <v>176</v>
      </c>
      <c r="C52" s="49">
        <v>45</v>
      </c>
      <c r="D52" s="49">
        <v>604.0571645372711</v>
      </c>
      <c r="E52" s="49">
        <v>337.5</v>
      </c>
      <c r="F52" s="49">
        <v>0</v>
      </c>
      <c r="G52" s="49">
        <v>0</v>
      </c>
      <c r="H52" s="49"/>
      <c r="I52" s="49">
        <v>0.21</v>
      </c>
      <c r="J52" s="49">
        <v>0.4009999930858612</v>
      </c>
      <c r="K52" s="49">
        <v>650.116523333238</v>
      </c>
      <c r="L52" s="49">
        <v>0.1417138080896024</v>
      </c>
      <c r="M52" s="49">
        <v>0.3534010350704193</v>
      </c>
      <c r="N52" s="49">
        <v>337.500072016359</v>
      </c>
      <c r="O52" s="49">
        <v>0</v>
      </c>
      <c r="P52" s="49">
        <v>0</v>
      </c>
      <c r="Q52" s="49">
        <v>337.50006103515625</v>
      </c>
      <c r="R52" s="49">
        <v>28.14635705788793</v>
      </c>
      <c r="S52" s="49">
        <v>273.6534117146886</v>
      </c>
      <c r="T52" s="49">
        <v>7.841404914855957</v>
      </c>
      <c r="U52" s="49">
        <v>40.55918884277344</v>
      </c>
      <c r="V52" s="49">
        <v>321.6984286279321</v>
      </c>
      <c r="W52" s="49">
        <v>337.500072016359</v>
      </c>
      <c r="X52" s="69">
        <v>0.9531803258766091</v>
      </c>
      <c r="Y52" s="60">
        <v>130.36415100097656</v>
      </c>
      <c r="Z52" s="60">
        <v>0</v>
      </c>
      <c r="AA52" s="60">
        <v>0</v>
      </c>
      <c r="AB52" s="60">
        <v>452.0625915527344</v>
      </c>
      <c r="AC52" s="60">
        <v>337.50006103515625</v>
      </c>
      <c r="AD52" s="48">
        <v>1.3394445180892944</v>
      </c>
      <c r="AE52" s="60"/>
      <c r="AF52" s="60"/>
      <c r="AG52" s="60"/>
      <c r="AH52" s="60"/>
      <c r="AI52" s="60"/>
      <c r="AJ52" s="60"/>
      <c r="AK52" s="60"/>
      <c r="AL52" s="49"/>
      <c r="AM52" s="49"/>
      <c r="AN52" s="49"/>
      <c r="AO52" s="49"/>
    </row>
    <row r="53" spans="2:41" ht="12.75" customHeight="1">
      <c r="B53" t="s">
        <v>488</v>
      </c>
      <c r="C53" s="49">
        <v>45</v>
      </c>
      <c r="D53" s="49">
        <v>4094.6907282668662</v>
      </c>
      <c r="E53" s="49">
        <v>2385.84</v>
      </c>
      <c r="F53" s="49">
        <v>0</v>
      </c>
      <c r="G53" s="49">
        <v>0</v>
      </c>
      <c r="H53" s="49"/>
      <c r="I53" s="49">
        <v>0.21</v>
      </c>
      <c r="J53" s="49">
        <v>0.4009999930858612</v>
      </c>
      <c r="K53" s="49">
        <v>4406.910896297215</v>
      </c>
      <c r="L53" s="49">
        <v>0.9606279837710315</v>
      </c>
      <c r="M53" s="49">
        <v>2.395581007003784</v>
      </c>
      <c r="N53" s="49">
        <v>2385.8429090953564</v>
      </c>
      <c r="O53" s="49">
        <v>0</v>
      </c>
      <c r="P53" s="49">
        <v>0</v>
      </c>
      <c r="Q53" s="49">
        <v>2385.843017578125</v>
      </c>
      <c r="R53" s="49">
        <v>29.352637514174003</v>
      </c>
      <c r="S53" s="49">
        <v>1855.0000786185399</v>
      </c>
      <c r="T53" s="49">
        <v>53.15412139892578</v>
      </c>
      <c r="U53" s="49">
        <v>274.93646240234375</v>
      </c>
      <c r="V53" s="49">
        <v>2180.680332491405</v>
      </c>
      <c r="W53" s="49">
        <v>2385.8429090953564</v>
      </c>
      <c r="X53" s="69">
        <v>0.9140083465588507</v>
      </c>
      <c r="Y53" s="60">
        <v>883.6928100585938</v>
      </c>
      <c r="Z53" s="60">
        <v>0</v>
      </c>
      <c r="AA53" s="60">
        <v>0</v>
      </c>
      <c r="AB53" s="60">
        <v>3064.373046875</v>
      </c>
      <c r="AC53" s="60">
        <v>2385.843017578125</v>
      </c>
      <c r="AD53" s="48">
        <v>1.2843984365463257</v>
      </c>
      <c r="AE53" s="60"/>
      <c r="AF53" s="60"/>
      <c r="AG53" s="60"/>
      <c r="AH53" s="60"/>
      <c r="AI53" s="60"/>
      <c r="AJ53" s="60"/>
      <c r="AK53" s="60"/>
      <c r="AL53" s="49"/>
      <c r="AM53" s="49"/>
      <c r="AN53" s="49"/>
      <c r="AO53" s="49"/>
    </row>
    <row r="54" spans="2:41" ht="12.75" customHeight="1">
      <c r="B54" t="s">
        <v>179</v>
      </c>
      <c r="C54" s="49">
        <v>45</v>
      </c>
      <c r="D54" s="49">
        <v>189.70723220041964</v>
      </c>
      <c r="E54" s="49">
        <v>175.5</v>
      </c>
      <c r="F54" s="49">
        <v>0</v>
      </c>
      <c r="G54" s="49">
        <v>0</v>
      </c>
      <c r="H54" s="49"/>
      <c r="I54" s="49">
        <v>0.21</v>
      </c>
      <c r="J54" s="49">
        <v>0.4009999930858612</v>
      </c>
      <c r="K54" s="49">
        <v>204.17240865570162</v>
      </c>
      <c r="L54" s="49">
        <v>0.04450594393306153</v>
      </c>
      <c r="M54" s="49">
        <v>0.11098739504814148</v>
      </c>
      <c r="N54" s="49">
        <v>175.50003744850667</v>
      </c>
      <c r="O54" s="49">
        <v>0</v>
      </c>
      <c r="P54" s="49">
        <v>0</v>
      </c>
      <c r="Q54" s="49">
        <v>175.50003051757812</v>
      </c>
      <c r="R54" s="49">
        <v>46.6036235173093</v>
      </c>
      <c r="S54" s="49">
        <v>85.94224912200687</v>
      </c>
      <c r="T54" s="49">
        <v>2.4626331329345703</v>
      </c>
      <c r="U54" s="49">
        <v>12.737821578979492</v>
      </c>
      <c r="V54" s="49">
        <v>101.03103317167395</v>
      </c>
      <c r="W54" s="49">
        <v>175.50003744850667</v>
      </c>
      <c r="X54" s="69">
        <v>0.5756752798489709</v>
      </c>
      <c r="Y54" s="60">
        <v>40.94154357910156</v>
      </c>
      <c r="Z54" s="60">
        <v>0</v>
      </c>
      <c r="AA54" s="60">
        <v>0</v>
      </c>
      <c r="AB54" s="60">
        <v>141.9725799560547</v>
      </c>
      <c r="AC54" s="60">
        <v>175.50003051757812</v>
      </c>
      <c r="AD54" s="69">
        <v>0.8089604377746582</v>
      </c>
      <c r="AE54" s="60"/>
      <c r="AF54" s="60"/>
      <c r="AG54" s="60"/>
      <c r="AH54" s="60"/>
      <c r="AI54" s="60"/>
      <c r="AJ54" s="60"/>
      <c r="AK54" s="60"/>
      <c r="AL54" s="49"/>
      <c r="AM54" s="49"/>
      <c r="AN54" s="49"/>
      <c r="AO54" s="49"/>
    </row>
    <row r="55" spans="2:41" ht="12.75" customHeight="1">
      <c r="B55" t="s">
        <v>178</v>
      </c>
      <c r="C55" s="49">
        <v>45</v>
      </c>
      <c r="D55" s="49">
        <v>165.94053252271078</v>
      </c>
      <c r="E55" s="49">
        <v>171.96</v>
      </c>
      <c r="F55" s="49">
        <v>0</v>
      </c>
      <c r="G55" s="49">
        <v>0</v>
      </c>
      <c r="H55" s="49"/>
      <c r="I55" s="49">
        <v>0.21</v>
      </c>
      <c r="J55" s="49">
        <v>0.4009999930858612</v>
      </c>
      <c r="K55" s="49">
        <v>178.59349812756747</v>
      </c>
      <c r="L55" s="49">
        <v>0.03893019760509585</v>
      </c>
      <c r="M55" s="49">
        <v>0.09708278626203537</v>
      </c>
      <c r="N55" s="49">
        <v>171.96013669315644</v>
      </c>
      <c r="O55" s="49">
        <v>0</v>
      </c>
      <c r="P55" s="49">
        <v>0</v>
      </c>
      <c r="Q55" s="49">
        <v>171.96014404296875</v>
      </c>
      <c r="R55" s="49">
        <v>52.20374829309191</v>
      </c>
      <c r="S55" s="49">
        <v>75.17532368211825</v>
      </c>
      <c r="T55" s="49">
        <v>2.1541123390197754</v>
      </c>
      <c r="U55" s="49">
        <v>11.142014503479004</v>
      </c>
      <c r="V55" s="49">
        <v>88.37376987669197</v>
      </c>
      <c r="W55" s="49">
        <v>171.96013669315644</v>
      </c>
      <c r="X55" s="69">
        <v>0.5139200955299602</v>
      </c>
      <c r="Y55" s="60">
        <v>35.81233215332031</v>
      </c>
      <c r="Z55" s="60">
        <v>0</v>
      </c>
      <c r="AA55" s="60">
        <v>0</v>
      </c>
      <c r="AB55" s="60">
        <v>124.18610382080078</v>
      </c>
      <c r="AC55" s="60">
        <v>171.96014404296875</v>
      </c>
      <c r="AD55" s="69">
        <v>0.7221795916557312</v>
      </c>
      <c r="AE55" s="60"/>
      <c r="AF55" s="60"/>
      <c r="AG55" s="60"/>
      <c r="AH55" s="60"/>
      <c r="AI55" s="60"/>
      <c r="AJ55" s="60"/>
      <c r="AK55" s="60"/>
      <c r="AL55" s="49"/>
      <c r="AM55" s="49"/>
      <c r="AN55" s="49"/>
      <c r="AO55" s="49"/>
    </row>
    <row r="56" spans="2:41" ht="12.75" customHeight="1">
      <c r="B56" t="s">
        <v>500</v>
      </c>
      <c r="C56" s="49">
        <v>45</v>
      </c>
      <c r="D56" s="49">
        <v>494.43437152064234</v>
      </c>
      <c r="E56" s="49">
        <v>715.2</v>
      </c>
      <c r="F56" s="49">
        <v>0</v>
      </c>
      <c r="G56" s="49">
        <v>0</v>
      </c>
      <c r="H56" s="49"/>
      <c r="I56" s="49">
        <v>0.21</v>
      </c>
      <c r="J56" s="49">
        <v>0.4009999930858612</v>
      </c>
      <c r="K56" s="49">
        <v>532.1349923490912</v>
      </c>
      <c r="L56" s="49">
        <v>0.11599593838482844</v>
      </c>
      <c r="M56" s="49">
        <v>0.2892666757106781</v>
      </c>
      <c r="N56" s="49">
        <v>715.2001526106666</v>
      </c>
      <c r="O56" s="49">
        <v>0</v>
      </c>
      <c r="P56" s="49">
        <v>0</v>
      </c>
      <c r="Q56" s="49">
        <v>715.2001342773438</v>
      </c>
      <c r="R56" s="49">
        <v>72.8694182948043</v>
      </c>
      <c r="S56" s="49">
        <v>223.99147064049583</v>
      </c>
      <c r="T56" s="49">
        <v>6.418366432189941</v>
      </c>
      <c r="U56" s="49">
        <v>33.1986083984375</v>
      </c>
      <c r="V56" s="49">
        <v>263.3173976349634</v>
      </c>
      <c r="W56" s="49">
        <v>715.2001526106666</v>
      </c>
      <c r="X56" s="69">
        <v>0.36817301656576334</v>
      </c>
      <c r="Y56" s="60">
        <v>106.70600891113281</v>
      </c>
      <c r="Z56" s="60">
        <v>0</v>
      </c>
      <c r="AA56" s="60">
        <v>0</v>
      </c>
      <c r="AB56" s="60">
        <v>370.0234375</v>
      </c>
      <c r="AC56" s="60">
        <v>715.2001342773438</v>
      </c>
      <c r="AD56" s="69">
        <v>0.5173704624176025</v>
      </c>
      <c r="AE56" s="60"/>
      <c r="AF56" s="60"/>
      <c r="AG56" s="60"/>
      <c r="AH56" s="60"/>
      <c r="AI56" s="60"/>
      <c r="AJ56" s="60"/>
      <c r="AK56" s="60"/>
      <c r="AL56" s="49"/>
      <c r="AM56" s="49"/>
      <c r="AN56" s="49"/>
      <c r="AO56" s="49"/>
    </row>
    <row r="57" spans="2:41" ht="12.75" customHeight="1">
      <c r="B57" t="s">
        <v>180</v>
      </c>
      <c r="C57" s="49">
        <v>45</v>
      </c>
      <c r="D57" s="49">
        <v>386.09645473193814</v>
      </c>
      <c r="E57" s="49">
        <v>600.47</v>
      </c>
      <c r="F57" s="49">
        <v>0</v>
      </c>
      <c r="G57" s="49">
        <v>0</v>
      </c>
      <c r="H57" s="49"/>
      <c r="I57" s="49">
        <v>0.21</v>
      </c>
      <c r="J57" s="49">
        <v>0.4009999930858612</v>
      </c>
      <c r="K57" s="49">
        <v>415.5363094052484</v>
      </c>
      <c r="L57" s="49">
        <v>0.09057950489151385</v>
      </c>
      <c r="M57" s="49">
        <v>0.22588405013084412</v>
      </c>
      <c r="N57" s="49">
        <v>600.4689281291161</v>
      </c>
      <c r="O57" s="49">
        <v>0</v>
      </c>
      <c r="P57" s="49">
        <v>0</v>
      </c>
      <c r="Q57" s="49">
        <v>600.4689331054688</v>
      </c>
      <c r="R57" s="49">
        <v>78.34677191520623</v>
      </c>
      <c r="S57" s="49">
        <v>174.91161150166496</v>
      </c>
      <c r="T57" s="49">
        <v>5.012006759643555</v>
      </c>
      <c r="U57" s="49">
        <v>25.924301147460938</v>
      </c>
      <c r="V57" s="49">
        <v>205.62064470499905</v>
      </c>
      <c r="W57" s="49">
        <v>600.4689281291161</v>
      </c>
      <c r="X57" s="69">
        <v>0.3424334467158064</v>
      </c>
      <c r="Y57" s="60">
        <v>83.32512664794922</v>
      </c>
      <c r="Z57" s="60">
        <v>0</v>
      </c>
      <c r="AA57" s="60">
        <v>0</v>
      </c>
      <c r="AB57" s="60">
        <v>288.9457702636719</v>
      </c>
      <c r="AC57" s="60">
        <v>600.4689331054688</v>
      </c>
      <c r="AD57" s="69">
        <v>0.4812001883983612</v>
      </c>
      <c r="AE57" s="60"/>
      <c r="AF57" s="60"/>
      <c r="AG57" s="60"/>
      <c r="AH57" s="60"/>
      <c r="AI57" s="60"/>
      <c r="AJ57" s="60"/>
      <c r="AK57" s="60"/>
      <c r="AL57" s="49"/>
      <c r="AM57" s="49"/>
      <c r="AN57" s="49"/>
      <c r="AO57" s="49"/>
    </row>
    <row r="58" spans="2:41" ht="12.75" customHeight="1">
      <c r="B58" t="s">
        <v>490</v>
      </c>
      <c r="C58" s="49">
        <v>45</v>
      </c>
      <c r="D58" s="49">
        <v>416.11990169937053</v>
      </c>
      <c r="E58" s="49">
        <v>675</v>
      </c>
      <c r="F58" s="49">
        <v>0</v>
      </c>
      <c r="G58" s="49">
        <v>0</v>
      </c>
      <c r="H58" s="49"/>
      <c r="I58" s="49">
        <v>0.21</v>
      </c>
      <c r="J58" s="49">
        <v>0.4009999930858612</v>
      </c>
      <c r="K58" s="49">
        <v>447.8490442039475</v>
      </c>
      <c r="L58" s="49">
        <v>0.09762310482131578</v>
      </c>
      <c r="M58" s="49">
        <v>0.2434491366147995</v>
      </c>
      <c r="N58" s="49">
        <v>675.000144032718</v>
      </c>
      <c r="O58" s="49">
        <v>0</v>
      </c>
      <c r="P58" s="49">
        <v>0</v>
      </c>
      <c r="Q58" s="49">
        <v>675.0001220703125</v>
      </c>
      <c r="R58" s="49">
        <v>81.71687327141898</v>
      </c>
      <c r="S58" s="49">
        <v>188.51300417840997</v>
      </c>
      <c r="T58" s="49">
        <v>5.401748180389404</v>
      </c>
      <c r="U58" s="49">
        <v>27.940214157104492</v>
      </c>
      <c r="V58" s="49">
        <v>221.6100184261294</v>
      </c>
      <c r="W58" s="49">
        <v>675.000144032718</v>
      </c>
      <c r="X58" s="69">
        <v>0.3283110683534724</v>
      </c>
      <c r="Y58" s="60">
        <v>89.80461883544922</v>
      </c>
      <c r="Z58" s="60">
        <v>0</v>
      </c>
      <c r="AA58" s="60">
        <v>0</v>
      </c>
      <c r="AB58" s="60">
        <v>311.4146728515625</v>
      </c>
      <c r="AC58" s="60">
        <v>675.0001220703125</v>
      </c>
      <c r="AD58" s="69">
        <v>0.4613550007343292</v>
      </c>
      <c r="AE58" s="60"/>
      <c r="AF58" s="60"/>
      <c r="AG58" s="60"/>
      <c r="AH58" s="60"/>
      <c r="AI58" s="60"/>
      <c r="AJ58" s="60"/>
      <c r="AK58" s="60"/>
      <c r="AL58" s="49"/>
      <c r="AM58" s="49"/>
      <c r="AN58" s="49"/>
      <c r="AO58" s="49"/>
    </row>
    <row r="59" spans="2:41" ht="12.75" customHeight="1">
      <c r="B59" t="s">
        <v>486</v>
      </c>
      <c r="C59" s="49">
        <v>45</v>
      </c>
      <c r="D59" s="49">
        <v>40.95169425724998</v>
      </c>
      <c r="E59" s="49">
        <v>73.7</v>
      </c>
      <c r="F59" s="49">
        <v>0</v>
      </c>
      <c r="G59" s="49">
        <v>0</v>
      </c>
      <c r="H59" s="49"/>
      <c r="I59" s="49">
        <v>0.21</v>
      </c>
      <c r="J59" s="49">
        <v>0.4009999930858612</v>
      </c>
      <c r="K59" s="49">
        <v>44.07426094436529</v>
      </c>
      <c r="L59" s="49">
        <v>0.00960740287777502</v>
      </c>
      <c r="M59" s="49">
        <v>0.023958610370755196</v>
      </c>
      <c r="N59" s="49">
        <v>73.69721572564151</v>
      </c>
      <c r="O59" s="49">
        <v>0</v>
      </c>
      <c r="P59" s="49">
        <v>0</v>
      </c>
      <c r="Q59" s="49">
        <v>73.69721221923828</v>
      </c>
      <c r="R59" s="49">
        <v>90.65787875418748</v>
      </c>
      <c r="S59" s="49">
        <v>18.552169408631883</v>
      </c>
      <c r="T59" s="49">
        <v>0.5316033363342285</v>
      </c>
      <c r="U59" s="49">
        <v>2.749685764312744</v>
      </c>
      <c r="V59" s="49">
        <v>21.80935241062587</v>
      </c>
      <c r="W59" s="49">
        <v>73.69721572564151</v>
      </c>
      <c r="X59" s="69">
        <v>0.2959318367171059</v>
      </c>
      <c r="Y59" s="60">
        <v>8.837958335876465</v>
      </c>
      <c r="Z59" s="60">
        <v>0</v>
      </c>
      <c r="AA59" s="60">
        <v>0</v>
      </c>
      <c r="AB59" s="60">
        <v>30.647314071655273</v>
      </c>
      <c r="AC59" s="60">
        <v>73.69721221923828</v>
      </c>
      <c r="AD59" s="69">
        <v>0.41585445404052734</v>
      </c>
      <c r="AE59" s="60"/>
      <c r="AF59" s="60"/>
      <c r="AG59" s="60"/>
      <c r="AH59" s="60"/>
      <c r="AI59" s="60"/>
      <c r="AJ59" s="60"/>
      <c r="AK59" s="60"/>
      <c r="AL59" s="49"/>
      <c r="AM59" s="49"/>
      <c r="AN59" s="49"/>
      <c r="AO59" s="49"/>
    </row>
    <row r="60" spans="3:41" ht="12.75" customHeight="1">
      <c r="C60" s="49"/>
      <c r="D60" s="49"/>
      <c r="E60" s="49"/>
      <c r="F60" s="49"/>
      <c r="G60" s="49"/>
      <c r="H60" s="49"/>
      <c r="I60" s="49"/>
      <c r="J60" s="49"/>
      <c r="K60" s="49"/>
      <c r="L60" s="49"/>
      <c r="M60" s="49"/>
      <c r="S60" s="49"/>
      <c r="T60" s="49"/>
      <c r="U60" s="49"/>
      <c r="W60" s="49"/>
      <c r="X60" s="60"/>
      <c r="Y60" s="60"/>
      <c r="Z60" s="60"/>
      <c r="AA60" s="60"/>
      <c r="AB60" s="60"/>
      <c r="AC60" s="60"/>
      <c r="AD60" s="60"/>
      <c r="AE60" s="60"/>
      <c r="AF60" s="60"/>
      <c r="AG60" s="60"/>
      <c r="AH60" s="60"/>
      <c r="AI60" s="60"/>
      <c r="AJ60" s="60"/>
      <c r="AK60" s="60"/>
      <c r="AL60" s="49"/>
      <c r="AM60" s="49"/>
      <c r="AN60" s="49"/>
      <c r="AO60" s="49"/>
    </row>
    <row r="61" spans="3:41" ht="12.75" customHeight="1" thickBot="1">
      <c r="C61" s="49"/>
      <c r="D61" s="49"/>
      <c r="E61" s="49"/>
      <c r="F61" s="49"/>
      <c r="G61" s="49"/>
      <c r="H61" s="49"/>
      <c r="I61" s="49"/>
      <c r="J61" s="49"/>
      <c r="K61" s="49"/>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1:41" ht="12.75" customHeight="1" thickBot="1">
      <c r="A62" s="65" t="s">
        <v>67</v>
      </c>
      <c r="B62" s="66"/>
      <c r="C62" s="67"/>
      <c r="D62" s="67"/>
      <c r="E62" s="67"/>
      <c r="F62" s="67"/>
      <c r="G62" s="67"/>
      <c r="H62" s="67"/>
      <c r="I62" s="67"/>
      <c r="J62" s="67"/>
      <c r="K62" s="68"/>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1:41" ht="25.5">
      <c r="A63" s="57"/>
      <c r="B63" s="58" t="s">
        <v>68</v>
      </c>
      <c r="C63" s="59" t="s">
        <v>64</v>
      </c>
      <c r="D63" s="59" t="s">
        <v>65</v>
      </c>
      <c r="E63" s="59" t="s">
        <v>69</v>
      </c>
      <c r="F63" s="59" t="s">
        <v>70</v>
      </c>
      <c r="G63" s="59" t="s">
        <v>71</v>
      </c>
      <c r="H63" s="59" t="s">
        <v>72</v>
      </c>
      <c r="I63" s="59" t="s">
        <v>66</v>
      </c>
      <c r="J63" s="59" t="s">
        <v>55</v>
      </c>
      <c r="K63" s="59" t="s">
        <v>63</v>
      </c>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2:41" ht="12.75" customHeight="1">
      <c r="B64" t="s">
        <v>73</v>
      </c>
      <c r="C64" s="49">
        <v>13289.130197891454</v>
      </c>
      <c r="D64" s="49">
        <v>3370.4647191956906</v>
      </c>
      <c r="E64" s="49">
        <v>3370.46</v>
      </c>
      <c r="F64" s="49">
        <v>674.0928</v>
      </c>
      <c r="G64" s="49">
        <v>4044.5575191956905</v>
      </c>
      <c r="H64" s="49">
        <v>2666.113037109375</v>
      </c>
      <c r="I64" s="49">
        <v>16.501141901185004</v>
      </c>
      <c r="J64" s="49">
        <v>5593.790784963053</v>
      </c>
      <c r="K64" s="48">
        <v>1.3830414720064226</v>
      </c>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2:41" ht="12.75" customHeight="1">
      <c r="B65" t="s">
        <v>74</v>
      </c>
      <c r="C65" s="49">
        <v>0</v>
      </c>
      <c r="D65" s="49">
        <v>0</v>
      </c>
      <c r="E65" s="49">
        <v>0</v>
      </c>
      <c r="F65" s="49">
        <v>0</v>
      </c>
      <c r="G65" s="49">
        <v>0</v>
      </c>
      <c r="H65" s="49">
        <v>0</v>
      </c>
      <c r="I65" s="49">
        <v>0</v>
      </c>
      <c r="J65" s="49">
        <v>8613.590575201652</v>
      </c>
      <c r="K65" s="69">
        <v>0</v>
      </c>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2:41" ht="12.75" customHeight="1">
      <c r="B66" t="s">
        <v>75</v>
      </c>
      <c r="C66" s="49">
        <v>13567.18433624957</v>
      </c>
      <c r="D66" s="49">
        <v>5679.0029296875</v>
      </c>
      <c r="E66" s="49">
        <v>5679.001934375889</v>
      </c>
      <c r="F66" s="49">
        <v>1135.8003868751778</v>
      </c>
      <c r="G66" s="49">
        <v>6814.8033165626775</v>
      </c>
      <c r="H66" s="49">
        <v>4400.15234375</v>
      </c>
      <c r="I66" s="49">
        <v>27.233479932169736</v>
      </c>
      <c r="J66" s="49">
        <v>5710.832055061774</v>
      </c>
      <c r="K66" s="69">
        <v>0.8380039437355712</v>
      </c>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2:41" ht="12.75" customHeight="1">
      <c r="B67" t="s">
        <v>76</v>
      </c>
      <c r="C67" s="49">
        <v>0</v>
      </c>
      <c r="D67" s="49">
        <v>0</v>
      </c>
      <c r="E67" s="49">
        <v>0</v>
      </c>
      <c r="F67" s="49">
        <v>0</v>
      </c>
      <c r="G67" s="49">
        <v>0</v>
      </c>
      <c r="H67" s="49">
        <v>0</v>
      </c>
      <c r="I67" s="49">
        <v>0</v>
      </c>
      <c r="J67" s="49">
        <v>0</v>
      </c>
      <c r="K67" s="69">
        <v>0</v>
      </c>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2:41" ht="12.75" customHeight="1">
      <c r="B68" t="s">
        <v>77</v>
      </c>
      <c r="C68" s="49">
        <v>9196.988422471319</v>
      </c>
      <c r="D68" s="49">
        <v>1973.690421149534</v>
      </c>
      <c r="E68" s="49">
        <v>1973.69</v>
      </c>
      <c r="F68" s="49">
        <v>394.738</v>
      </c>
      <c r="G68" s="49">
        <v>2368.4284211495337</v>
      </c>
      <c r="H68" s="49">
        <v>2255.894287109375</v>
      </c>
      <c r="I68" s="49">
        <v>13.962209927592719</v>
      </c>
      <c r="J68" s="49">
        <v>3871.2864063288926</v>
      </c>
      <c r="K68" s="102">
        <v>1.6345380640424574</v>
      </c>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2:41" ht="12.75" customHeight="1">
      <c r="B69" t="s">
        <v>78</v>
      </c>
      <c r="C69" s="49">
        <v>4386.871381844945</v>
      </c>
      <c r="D69" s="49">
        <v>1530.5718265961086</v>
      </c>
      <c r="E69" s="49">
        <v>1530.57</v>
      </c>
      <c r="F69" s="49">
        <v>306.1143</v>
      </c>
      <c r="G69" s="49">
        <v>1836.6861265961086</v>
      </c>
      <c r="H69" s="49">
        <v>3667.618408203125</v>
      </c>
      <c r="I69" s="49">
        <v>22.699672075162045</v>
      </c>
      <c r="J69" s="49">
        <v>1846.5648500062046</v>
      </c>
      <c r="K69" s="102">
        <v>1.005378558299672</v>
      </c>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2:41" ht="12.75" customHeight="1">
      <c r="B70" t="s">
        <v>79</v>
      </c>
      <c r="C70" s="49">
        <v>5057.027419630453</v>
      </c>
      <c r="D70" s="49">
        <v>2723.3429811117153</v>
      </c>
      <c r="E70" s="49">
        <v>2723.34</v>
      </c>
      <c r="F70" s="49">
        <v>544.66848</v>
      </c>
      <c r="G70" s="49">
        <v>3268.011461111715</v>
      </c>
      <c r="H70" s="49">
        <v>5660.98974609375</v>
      </c>
      <c r="I70" s="49">
        <v>35.03707169654885</v>
      </c>
      <c r="J70" s="49">
        <v>2128.6534903332285</v>
      </c>
      <c r="K70" s="70">
        <v>0.6513604727717514</v>
      </c>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2:41" ht="12.75" customHeight="1">
      <c r="B71" t="s">
        <v>80</v>
      </c>
      <c r="C71" s="49">
        <v>0</v>
      </c>
      <c r="D71" s="49">
        <v>0</v>
      </c>
      <c r="E71" s="49">
        <v>0</v>
      </c>
      <c r="F71" s="49">
        <v>0</v>
      </c>
      <c r="G71" s="49">
        <v>0</v>
      </c>
      <c r="H71" s="49">
        <v>0</v>
      </c>
      <c r="I71" s="49">
        <v>0</v>
      </c>
      <c r="J71" s="49">
        <v>0</v>
      </c>
      <c r="K71" s="70">
        <v>0</v>
      </c>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2:41" ht="12.75" customHeight="1">
      <c r="B72" t="s">
        <v>81</v>
      </c>
      <c r="C72" s="49">
        <v>204.17240865570162</v>
      </c>
      <c r="D72" s="49">
        <v>175.50003744850667</v>
      </c>
      <c r="E72" s="49">
        <v>175.5</v>
      </c>
      <c r="F72" s="49">
        <v>35.1</v>
      </c>
      <c r="G72" s="49">
        <v>210.60003744850667</v>
      </c>
      <c r="H72" s="49">
        <v>9035.77734375</v>
      </c>
      <c r="I72" s="49">
        <v>55.924348207097225</v>
      </c>
      <c r="J72" s="49">
        <v>85.94224912200687</v>
      </c>
      <c r="K72" s="70">
        <v>0.40808278176598334</v>
      </c>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2:41" ht="12.75" customHeight="1">
      <c r="B73" t="s">
        <v>82</v>
      </c>
      <c r="C73" s="49">
        <v>1618.1881050302197</v>
      </c>
      <c r="D73" s="49">
        <v>2236.3265771912984</v>
      </c>
      <c r="E73" s="49">
        <v>2236.33</v>
      </c>
      <c r="F73" s="49">
        <v>447.26522</v>
      </c>
      <c r="G73" s="49">
        <v>2683.5917971912986</v>
      </c>
      <c r="H73" s="49">
        <v>14527.5224609375</v>
      </c>
      <c r="I73" s="49">
        <v>89.91393210597906</v>
      </c>
      <c r="J73" s="49">
        <v>681.1435794113208</v>
      </c>
      <c r="K73" s="70">
        <v>0.2538178795017258</v>
      </c>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S520" s="49"/>
      <c r="T520" s="49"/>
      <c r="U520" s="49"/>
      <c r="W520" s="49"/>
      <c r="X520" s="49"/>
      <c r="Y520" s="49"/>
      <c r="Z520" s="49"/>
      <c r="AA520" s="49"/>
      <c r="AB520" s="49"/>
      <c r="AC520" s="49"/>
      <c r="AD520" s="49"/>
      <c r="AE520" s="49"/>
      <c r="AF520" s="49"/>
      <c r="AG520" s="49"/>
      <c r="AH520" s="49"/>
      <c r="AI520" s="49"/>
      <c r="AJ520" s="49"/>
      <c r="AK520" s="49"/>
      <c r="AL520" s="49"/>
      <c r="AM520" s="49"/>
      <c r="AN520" s="49"/>
      <c r="AO520" s="49"/>
    </row>
    <row r="521" spans="3:41" ht="12" customHeight="1">
      <c r="C521" s="49"/>
      <c r="D521" s="49"/>
      <c r="E521" s="49"/>
      <c r="F521" s="49"/>
      <c r="G521" s="49"/>
      <c r="H521" s="49"/>
      <c r="I521" s="49"/>
      <c r="J521" s="49"/>
      <c r="K521" s="49"/>
      <c r="L521" s="49"/>
      <c r="M521" s="49"/>
      <c r="S521" s="49"/>
      <c r="T521" s="49"/>
      <c r="U521" s="49"/>
      <c r="W521" s="49"/>
      <c r="X521" s="49"/>
      <c r="Y521" s="49"/>
      <c r="Z521" s="49"/>
      <c r="AA521" s="49"/>
      <c r="AB521" s="49"/>
      <c r="AC521" s="49"/>
      <c r="AD521" s="49"/>
      <c r="AE521" s="49"/>
      <c r="AF521" s="49"/>
      <c r="AG521" s="49"/>
      <c r="AH521" s="49"/>
      <c r="AI521" s="49"/>
      <c r="AJ521" s="49"/>
      <c r="AK521" s="49"/>
      <c r="AL521" s="49"/>
      <c r="AM521" s="49"/>
      <c r="AN521" s="49"/>
      <c r="AO521" s="49"/>
    </row>
    <row r="522" spans="3:41" ht="12" customHeight="1">
      <c r="C522" s="49"/>
      <c r="D522" s="49"/>
      <c r="E522" s="49"/>
      <c r="F522" s="49"/>
      <c r="G522" s="49"/>
      <c r="H522" s="49"/>
      <c r="I522" s="49"/>
      <c r="J522" s="49"/>
      <c r="K522" s="49"/>
      <c r="L522" s="49"/>
      <c r="M522" s="49"/>
      <c r="S522" s="49"/>
      <c r="T522" s="49"/>
      <c r="U522" s="49"/>
      <c r="W522" s="49"/>
      <c r="X522" s="49"/>
      <c r="Y522" s="49"/>
      <c r="Z522" s="49"/>
      <c r="AA522" s="49"/>
      <c r="AB522" s="49"/>
      <c r="AC522" s="49"/>
      <c r="AD522" s="49"/>
      <c r="AE522" s="49"/>
      <c r="AF522" s="49"/>
      <c r="AG522" s="49"/>
      <c r="AH522" s="49"/>
      <c r="AI522" s="49"/>
      <c r="AJ522" s="49"/>
      <c r="AK522" s="49"/>
      <c r="AL522" s="49"/>
      <c r="AM522" s="49"/>
      <c r="AN522" s="49"/>
      <c r="AO522" s="49"/>
    </row>
    <row r="523" spans="3:41" ht="12" customHeight="1">
      <c r="C523" s="49"/>
      <c r="D523" s="49"/>
      <c r="E523" s="49"/>
      <c r="F523" s="49"/>
      <c r="G523" s="49"/>
      <c r="H523" s="49"/>
      <c r="I523" s="49"/>
      <c r="J523" s="49"/>
      <c r="K523" s="49"/>
      <c r="L523" s="49"/>
      <c r="M523" s="49"/>
      <c r="S523" s="49"/>
      <c r="T523" s="49"/>
      <c r="U523" s="49"/>
      <c r="W523" s="49"/>
      <c r="X523" s="49"/>
      <c r="Y523" s="49"/>
      <c r="Z523" s="49"/>
      <c r="AA523" s="49"/>
      <c r="AB523" s="49"/>
      <c r="AC523" s="49"/>
      <c r="AD523" s="49"/>
      <c r="AE523" s="49"/>
      <c r="AF523" s="49"/>
      <c r="AG523" s="49"/>
      <c r="AH523" s="49"/>
      <c r="AI523" s="49"/>
      <c r="AJ523" s="49"/>
      <c r="AK523" s="49"/>
      <c r="AL523" s="49"/>
      <c r="AM523" s="49"/>
      <c r="AN523" s="49"/>
      <c r="AO523" s="49"/>
    </row>
    <row r="524" spans="3:41" ht="12" customHeight="1">
      <c r="C524" s="49"/>
      <c r="D524" s="49"/>
      <c r="E524" s="49"/>
      <c r="F524" s="49"/>
      <c r="G524" s="49"/>
      <c r="H524" s="49"/>
      <c r="I524" s="49"/>
      <c r="J524" s="49"/>
      <c r="K524" s="49"/>
      <c r="L524" s="49"/>
      <c r="M524" s="49"/>
      <c r="S524" s="49"/>
      <c r="T524" s="49"/>
      <c r="U524" s="49"/>
      <c r="W524" s="49"/>
      <c r="X524" s="49"/>
      <c r="Y524" s="49"/>
      <c r="Z524" s="49"/>
      <c r="AA524" s="49"/>
      <c r="AB524" s="49"/>
      <c r="AC524" s="49"/>
      <c r="AD524" s="49"/>
      <c r="AE524" s="49"/>
      <c r="AF524" s="49"/>
      <c r="AG524" s="49"/>
      <c r="AH524" s="49"/>
      <c r="AI524" s="49"/>
      <c r="AJ524" s="49"/>
      <c r="AK524" s="49"/>
      <c r="AL524" s="49"/>
      <c r="AM524" s="49"/>
      <c r="AN524" s="49"/>
      <c r="AO524" s="49"/>
    </row>
    <row r="525" spans="3:30" ht="12" customHeight="1">
      <c r="C525" s="49"/>
      <c r="D525" s="49"/>
      <c r="E525" s="49"/>
      <c r="F525" s="49"/>
      <c r="G525" s="49"/>
      <c r="H525" s="49"/>
      <c r="I525" s="49"/>
      <c r="J525" s="49"/>
      <c r="K525" s="49"/>
      <c r="L525" s="49"/>
      <c r="M525" s="49"/>
      <c r="S525" s="49"/>
      <c r="T525" s="49"/>
      <c r="U525" s="49"/>
      <c r="W525" s="49"/>
      <c r="X525" s="49"/>
      <c r="Y525" s="49"/>
      <c r="Z525" s="49"/>
      <c r="AA525" s="49"/>
      <c r="AB525" s="49"/>
      <c r="AC525" s="49"/>
      <c r="AD525" s="49"/>
    </row>
    <row r="526" spans="3:30" ht="12" customHeight="1">
      <c r="C526" s="49"/>
      <c r="D526" s="49"/>
      <c r="E526" s="49"/>
      <c r="F526" s="49"/>
      <c r="G526" s="49"/>
      <c r="H526" s="49"/>
      <c r="I526" s="49"/>
      <c r="J526" s="49"/>
      <c r="K526" s="49"/>
      <c r="L526" s="49"/>
      <c r="M526" s="49"/>
      <c r="S526" s="49"/>
      <c r="T526" s="49"/>
      <c r="U526" s="49"/>
      <c r="W526" s="49"/>
      <c r="X526" s="49"/>
      <c r="Y526" s="49"/>
      <c r="Z526" s="49"/>
      <c r="AA526" s="49"/>
      <c r="AB526" s="49"/>
      <c r="AC526" s="49"/>
      <c r="AD526" s="49"/>
    </row>
    <row r="527" spans="3:30" ht="12.75" customHeight="1">
      <c r="C527" s="49"/>
      <c r="D527" s="49"/>
      <c r="E527" s="49"/>
      <c r="F527" s="49"/>
      <c r="G527" s="49"/>
      <c r="H527" s="49"/>
      <c r="I527" s="49"/>
      <c r="J527" s="49"/>
      <c r="K527" s="49"/>
      <c r="L527" s="49"/>
      <c r="M527" s="49"/>
      <c r="S527" s="49"/>
      <c r="T527" s="49"/>
      <c r="U527" s="49"/>
      <c r="W527" s="49"/>
      <c r="X527" s="49"/>
      <c r="Y527" s="49"/>
      <c r="Z527" s="49"/>
      <c r="AA527" s="49"/>
      <c r="AB527" s="49"/>
      <c r="AC527" s="49"/>
      <c r="AD527" s="49"/>
    </row>
    <row r="528" spans="3:30" ht="12.75" customHeight="1">
      <c r="C528" s="49"/>
      <c r="D528" s="49"/>
      <c r="E528" s="49"/>
      <c r="F528" s="49"/>
      <c r="G528" s="49"/>
      <c r="H528" s="49"/>
      <c r="I528" s="49"/>
      <c r="J528" s="49"/>
      <c r="K528" s="49"/>
      <c r="L528" s="49"/>
      <c r="M528" s="49"/>
      <c r="S528" s="49"/>
      <c r="T528" s="49"/>
      <c r="U528" s="49"/>
      <c r="W528" s="49"/>
      <c r="X528" s="49"/>
      <c r="Y528" s="49"/>
      <c r="Z528" s="49"/>
      <c r="AA528" s="49"/>
      <c r="AB528" s="49"/>
      <c r="AC528" s="49"/>
      <c r="AD528" s="49"/>
    </row>
    <row r="529" spans="3:30" ht="12.75" customHeight="1">
      <c r="C529" s="49"/>
      <c r="D529" s="49"/>
      <c r="E529" s="49"/>
      <c r="F529" s="49"/>
      <c r="G529" s="49"/>
      <c r="H529" s="49"/>
      <c r="I529" s="49"/>
      <c r="J529" s="49"/>
      <c r="K529" s="49"/>
      <c r="L529" s="49"/>
      <c r="M529" s="49"/>
      <c r="S529" s="49"/>
      <c r="T529" s="49"/>
      <c r="U529" s="49"/>
      <c r="W529" s="49"/>
      <c r="X529" s="49"/>
      <c r="Y529" s="49"/>
      <c r="Z529" s="49"/>
      <c r="AA529" s="49"/>
      <c r="AB529" s="49"/>
      <c r="AC529" s="49"/>
      <c r="AD529" s="49"/>
    </row>
    <row r="530" spans="3:30" ht="12.75" customHeight="1">
      <c r="C530" s="49"/>
      <c r="D530" s="49"/>
      <c r="E530" s="49"/>
      <c r="F530" s="49"/>
      <c r="G530" s="49"/>
      <c r="H530" s="49"/>
      <c r="I530" s="49"/>
      <c r="J530" s="49"/>
      <c r="K530" s="49"/>
      <c r="L530" s="49"/>
      <c r="M530" s="49"/>
      <c r="S530" s="49"/>
      <c r="T530" s="49"/>
      <c r="U530" s="49"/>
      <c r="W530" s="49"/>
      <c r="X530" s="49"/>
      <c r="Y530" s="49"/>
      <c r="Z530" s="49"/>
      <c r="AA530" s="49"/>
      <c r="AB530" s="49"/>
      <c r="AC530" s="49"/>
      <c r="AD530" s="49"/>
    </row>
    <row r="531" spans="3:30" ht="12.75" customHeight="1">
      <c r="C531" s="49"/>
      <c r="D531" s="49"/>
      <c r="E531" s="49"/>
      <c r="F531" s="49"/>
      <c r="G531" s="49"/>
      <c r="H531" s="49"/>
      <c r="I531" s="49"/>
      <c r="J531" s="49"/>
      <c r="K531" s="49"/>
      <c r="L531" s="49"/>
      <c r="M531" s="49"/>
      <c r="S531" s="49"/>
      <c r="T531" s="49"/>
      <c r="U531" s="49"/>
      <c r="W531" s="49"/>
      <c r="X531" s="49"/>
      <c r="Y531" s="49"/>
      <c r="Z531" s="49"/>
      <c r="AA531" s="49"/>
      <c r="AB531" s="49"/>
      <c r="AC531" s="49"/>
      <c r="AD531" s="49"/>
    </row>
    <row r="532" spans="3:30" ht="12.75">
      <c r="C532" s="49"/>
      <c r="D532" s="49"/>
      <c r="E532" s="49"/>
      <c r="F532" s="49"/>
      <c r="G532" s="49"/>
      <c r="H532" s="49"/>
      <c r="I532" s="49"/>
      <c r="J532" s="49"/>
      <c r="K532" s="49"/>
      <c r="L532" s="49"/>
      <c r="M532" s="49"/>
      <c r="S532" s="49"/>
      <c r="T532" s="49"/>
      <c r="U532" s="49"/>
      <c r="W532" s="49"/>
      <c r="X532" s="49"/>
      <c r="Y532" s="49"/>
      <c r="Z532" s="49"/>
      <c r="AA532" s="49"/>
      <c r="AB532" s="49"/>
      <c r="AC532" s="49"/>
      <c r="AD532" s="49"/>
    </row>
    <row r="533" spans="3:30" ht="12.75">
      <c r="C533" s="49"/>
      <c r="D533" s="49"/>
      <c r="E533" s="49"/>
      <c r="F533" s="49"/>
      <c r="G533" s="49"/>
      <c r="H533" s="49"/>
      <c r="I533" s="49"/>
      <c r="J533" s="49"/>
      <c r="K533" s="49"/>
      <c r="L533" s="49"/>
      <c r="M533" s="49"/>
      <c r="S533" s="49"/>
      <c r="T533" s="49"/>
      <c r="U533" s="49"/>
      <c r="W533" s="49"/>
      <c r="X533" s="49"/>
      <c r="Y533" s="49"/>
      <c r="Z533" s="49"/>
      <c r="AA533" s="49"/>
      <c r="AB533" s="49"/>
      <c r="AC533" s="49"/>
      <c r="AD533" s="49"/>
    </row>
    <row r="534" spans="3:30" ht="12.75">
      <c r="C534" s="49"/>
      <c r="D534" s="49"/>
      <c r="E534" s="49"/>
      <c r="F534" s="49"/>
      <c r="G534" s="49"/>
      <c r="H534" s="49"/>
      <c r="I534" s="49"/>
      <c r="J534" s="49"/>
      <c r="K534" s="49"/>
      <c r="L534" s="49"/>
      <c r="M534" s="49"/>
      <c r="S534" s="49"/>
      <c r="T534" s="49"/>
      <c r="U534" s="49"/>
      <c r="W534" s="49"/>
      <c r="X534" s="49"/>
      <c r="Y534" s="49"/>
      <c r="Z534" s="49"/>
      <c r="AA534" s="49"/>
      <c r="AB534" s="49"/>
      <c r="AC534" s="49"/>
      <c r="AD534" s="49"/>
    </row>
    <row r="535" spans="3:30" ht="12.75">
      <c r="C535" s="49"/>
      <c r="D535" s="49"/>
      <c r="E535" s="49"/>
      <c r="F535" s="49"/>
      <c r="G535" s="49"/>
      <c r="H535" s="49"/>
      <c r="I535" s="49"/>
      <c r="J535" s="49"/>
      <c r="K535" s="49"/>
      <c r="L535" s="49"/>
      <c r="M535" s="49"/>
      <c r="S535" s="49"/>
      <c r="T535" s="49"/>
      <c r="U535" s="49"/>
      <c r="W535" s="49"/>
      <c r="X535" s="49"/>
      <c r="Y535" s="49"/>
      <c r="Z535" s="49"/>
      <c r="AA535" s="49"/>
      <c r="AB535" s="49"/>
      <c r="AC535" s="49"/>
      <c r="AD535"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7"/>
  <dimension ref="A1:AO533"/>
  <sheetViews>
    <sheetView workbookViewId="0" topLeftCell="A31">
      <selection activeCell="K71" sqref="K71"/>
    </sheetView>
  </sheetViews>
  <sheetFormatPr defaultColWidth="9.140625" defaultRowHeight="12.75"/>
  <cols>
    <col min="1" max="1" width="34.00390625" style="37" customWidth="1"/>
    <col min="2" max="2" width="38.28125" style="37" customWidth="1"/>
    <col min="3" max="6" width="8.421875" style="37" customWidth="1"/>
    <col min="7" max="7" width="11.140625" style="37" customWidth="1"/>
    <col min="8" max="8" width="11.7109375" style="37" customWidth="1"/>
    <col min="9" max="9" width="9.00390625" style="38" customWidth="1"/>
    <col min="10" max="13" width="7.8515625" style="38" customWidth="1"/>
    <col min="14" max="18" width="7.8515625" style="39" customWidth="1"/>
    <col min="19" max="19" width="6.421875" style="37" customWidth="1"/>
    <col min="20" max="20" width="9.421875" style="37" customWidth="1"/>
    <col min="21" max="21" width="8.8515625" style="37" customWidth="1"/>
    <col min="22" max="23" width="8.8515625" style="39" customWidth="1"/>
    <col min="24" max="16384" width="8.8515625" style="37" customWidth="1"/>
  </cols>
  <sheetData>
    <row r="1" ht="14.25">
      <c r="A1" s="36" t="s">
        <v>132</v>
      </c>
    </row>
    <row r="2" ht="12.75">
      <c r="A2" s="37">
        <v>2184</v>
      </c>
    </row>
    <row r="4" spans="1:23" ht="12.75">
      <c r="A4" s="106" t="s">
        <v>37</v>
      </c>
      <c r="B4" s="107"/>
      <c r="C4" s="107"/>
      <c r="D4" s="107"/>
      <c r="E4" s="107"/>
      <c r="F4" s="107"/>
      <c r="G4" s="108"/>
      <c r="I4"/>
      <c r="J4"/>
      <c r="K4"/>
      <c r="L4"/>
      <c r="M4"/>
      <c r="N4"/>
      <c r="O4"/>
      <c r="P4"/>
      <c r="Q4"/>
      <c r="R4"/>
      <c r="S4"/>
      <c r="T4"/>
      <c r="U4"/>
      <c r="V4"/>
      <c r="W4"/>
    </row>
    <row r="5" spans="1:23" s="96" customFormat="1" ht="26.25" customHeight="1">
      <c r="A5" s="46" t="s">
        <v>39</v>
      </c>
      <c r="B5" s="46" t="s">
        <v>40</v>
      </c>
      <c r="C5" s="46" t="s">
        <v>133</v>
      </c>
      <c r="D5" s="46" t="s">
        <v>181</v>
      </c>
      <c r="E5" s="46" t="s">
        <v>182</v>
      </c>
      <c r="F5" s="46" t="s">
        <v>183</v>
      </c>
      <c r="G5" s="47" t="s">
        <v>43</v>
      </c>
      <c r="H5" s="37"/>
      <c r="I5"/>
      <c r="J5"/>
      <c r="K5"/>
      <c r="L5"/>
      <c r="M5"/>
      <c r="N5"/>
      <c r="O5"/>
      <c r="P5"/>
      <c r="Q5"/>
      <c r="R5"/>
      <c r="S5"/>
      <c r="T5"/>
      <c r="U5"/>
      <c r="V5"/>
      <c r="W5"/>
    </row>
    <row r="6" spans="1:20" ht="12.75" customHeight="1">
      <c r="A6" t="str">
        <f aca="true" t="shared" si="0" ref="A6:A19">B6</f>
        <v>BSMT WALL R11</v>
      </c>
      <c r="B6" t="str">
        <f>'UA Optimizer'!AF45</f>
        <v>BSMT WALL R11</v>
      </c>
      <c r="C6" s="98">
        <f>'UA Optimizer'!AK45</f>
        <v>6759.991773884547</v>
      </c>
      <c r="D6" s="98">
        <v>45</v>
      </c>
      <c r="E6" s="93">
        <f>'UA Optimizer'!AH45</f>
        <v>299.75</v>
      </c>
      <c r="F6" s="100">
        <v>0</v>
      </c>
      <c r="G6" s="101" t="s">
        <v>169</v>
      </c>
      <c r="P6" s="60"/>
      <c r="Q6" s="60"/>
      <c r="R6" s="60"/>
      <c r="S6" s="60"/>
      <c r="T6" s="60"/>
    </row>
    <row r="7" spans="1:20" ht="12.75" customHeight="1">
      <c r="A7" t="str">
        <f t="shared" si="0"/>
        <v>ATTIC R19</v>
      </c>
      <c r="B7" t="str">
        <f>'UA Optimizer'!AF46</f>
        <v>ATTIC R19</v>
      </c>
      <c r="C7" s="98">
        <f>'UA Optimizer'!AK46</f>
        <v>2902.210835790953</v>
      </c>
      <c r="D7" s="98">
        <v>45</v>
      </c>
      <c r="E7" s="93">
        <f>'UA Optimizer'!AH46</f>
        <v>627.5306010746467</v>
      </c>
      <c r="F7" s="100">
        <v>0</v>
      </c>
      <c r="G7" s="101" t="s">
        <v>169</v>
      </c>
      <c r="H7" s="60"/>
      <c r="I7" s="60"/>
      <c r="J7" s="60"/>
      <c r="K7" s="60"/>
      <c r="L7" s="60"/>
      <c r="M7" s="60"/>
      <c r="N7" s="60"/>
      <c r="O7" s="60"/>
      <c r="P7" s="60"/>
      <c r="Q7" s="60"/>
      <c r="R7" s="60"/>
      <c r="S7" s="60"/>
      <c r="T7" s="60"/>
    </row>
    <row r="8" spans="1:7" ht="12.75" customHeight="1">
      <c r="A8" t="str">
        <f t="shared" si="0"/>
        <v>FLOOR R11</v>
      </c>
      <c r="B8" t="str">
        <f>'UA Optimizer'!AF47</f>
        <v>FLOOR R11</v>
      </c>
      <c r="C8" s="98">
        <f>'UA Optimizer'!AK47</f>
        <v>1427.3735477830742</v>
      </c>
      <c r="D8" s="98">
        <v>45</v>
      </c>
      <c r="E8" s="93">
        <f>'UA Optimizer'!AH47</f>
        <v>436.8</v>
      </c>
      <c r="F8" s="100">
        <v>0</v>
      </c>
      <c r="G8" s="101" t="s">
        <v>169</v>
      </c>
    </row>
    <row r="9" spans="1:7" ht="12.75" customHeight="1">
      <c r="A9" t="str">
        <f t="shared" si="0"/>
        <v>WALL R11</v>
      </c>
      <c r="B9" t="str">
        <f>'UA Optimizer'!AF48</f>
        <v>WALL R11</v>
      </c>
      <c r="C9" s="98">
        <f>'UA Optimizer'!AK48</f>
        <v>3500.9703732569724</v>
      </c>
      <c r="D9" s="98">
        <v>45</v>
      </c>
      <c r="E9" s="93">
        <f>'UA Optimizer'!AH48</f>
        <v>1228.2883059330159</v>
      </c>
      <c r="F9" s="100">
        <v>0</v>
      </c>
      <c r="G9" s="101" t="s">
        <v>169</v>
      </c>
    </row>
    <row r="10" spans="1:7" ht="12.75" customHeight="1">
      <c r="A10" t="str">
        <f t="shared" si="0"/>
        <v>FLOOR R19</v>
      </c>
      <c r="B10" t="str">
        <f>'UA Optimizer'!AF49</f>
        <v>FLOOR R19</v>
      </c>
      <c r="C10" s="98">
        <f>'UA Optimizer'!AK49</f>
        <v>385.4580933053803</v>
      </c>
      <c r="D10" s="98">
        <v>45</v>
      </c>
      <c r="E10" s="93">
        <f>'UA Optimizer'!AH49</f>
        <v>144.59889985958108</v>
      </c>
      <c r="F10" s="100">
        <v>0</v>
      </c>
      <c r="G10" s="101" t="s">
        <v>169</v>
      </c>
    </row>
    <row r="11" spans="1:7" ht="12.75" customHeight="1">
      <c r="A11" t="str">
        <f t="shared" si="0"/>
        <v>ATTIC R38</v>
      </c>
      <c r="B11" t="str">
        <f>'UA Optimizer'!AF50</f>
        <v>ATTIC R38</v>
      </c>
      <c r="C11" s="98">
        <f>'UA Optimizer'!AK50</f>
        <v>576.7169296689572</v>
      </c>
      <c r="D11" s="98">
        <v>45</v>
      </c>
      <c r="E11" s="93">
        <f>'UA Optimizer'!AH50</f>
        <v>240.50516041927804</v>
      </c>
      <c r="F11" s="100">
        <v>0</v>
      </c>
      <c r="G11" s="101" t="s">
        <v>169</v>
      </c>
    </row>
    <row r="12" spans="1:7" ht="12.75" customHeight="1">
      <c r="A12" t="str">
        <f t="shared" si="0"/>
        <v>FLOOR R30</v>
      </c>
      <c r="B12" t="str">
        <f>'UA Optimizer'!AF51</f>
        <v>FLOOR R30</v>
      </c>
      <c r="C12" s="98">
        <f>'UA Optimizer'!AK51</f>
        <v>327.9525883390379</v>
      </c>
      <c r="D12" s="98">
        <v>45</v>
      </c>
      <c r="E12" s="93">
        <f>'UA Optimizer'!AH51</f>
        <v>182</v>
      </c>
      <c r="F12" s="100">
        <v>0</v>
      </c>
      <c r="G12" s="101" t="s">
        <v>169</v>
      </c>
    </row>
    <row r="13" spans="1:7" ht="12.75" customHeight="1">
      <c r="A13" t="str">
        <f t="shared" si="0"/>
        <v>CLASS 35 PRIME WINDOW (Energy Star)</v>
      </c>
      <c r="B13" t="str">
        <f>'UA Optimizer'!AF52</f>
        <v>CLASS 35 PRIME WINDOW (Energy Star)</v>
      </c>
      <c r="C13" s="98">
        <f>'UA Optimizer'!AK52</f>
        <v>8696.810842501114</v>
      </c>
      <c r="D13" s="98">
        <v>45</v>
      </c>
      <c r="E13" s="93">
        <f>'UA Optimizer'!AH52</f>
        <v>5043.894911195371</v>
      </c>
      <c r="F13" s="100">
        <v>0</v>
      </c>
      <c r="G13" s="101" t="s">
        <v>169</v>
      </c>
    </row>
    <row r="14" spans="1:7" ht="12.75" customHeight="1">
      <c r="A14" t="str">
        <f t="shared" si="0"/>
        <v>BSMT WALL R21</v>
      </c>
      <c r="B14" t="str">
        <f>'UA Optimizer'!AF53</f>
        <v>BSMT WALL R21</v>
      </c>
      <c r="C14" s="98">
        <f>'UA Optimizer'!AK53</f>
        <v>658.2105564312242</v>
      </c>
      <c r="D14" s="98">
        <v>45</v>
      </c>
      <c r="E14" s="93">
        <f>'UA Optimizer'!AH53</f>
        <v>406.08</v>
      </c>
      <c r="F14" s="100">
        <v>0</v>
      </c>
      <c r="G14" s="101" t="s">
        <v>169</v>
      </c>
    </row>
    <row r="15" spans="1:7" ht="12.75" customHeight="1">
      <c r="A15" t="str">
        <f t="shared" si="0"/>
        <v>FLOOR R38</v>
      </c>
      <c r="B15" t="str">
        <f>'UA Optimizer'!AF54</f>
        <v>FLOOR R38</v>
      </c>
      <c r="C15" s="98">
        <f>'UA Optimizer'!AK54</f>
        <v>101.49531555820795</v>
      </c>
      <c r="D15" s="98">
        <v>45</v>
      </c>
      <c r="E15" s="93">
        <f>'UA Optimizer'!AH54</f>
        <v>94.64</v>
      </c>
      <c r="F15" s="100">
        <v>0</v>
      </c>
      <c r="G15" s="101" t="s">
        <v>169</v>
      </c>
    </row>
    <row r="16" spans="1:7" ht="12.75" customHeight="1">
      <c r="A16" t="str">
        <f t="shared" si="0"/>
        <v>ATTIC R49</v>
      </c>
      <c r="B16" t="str">
        <f>'UA Optimizer'!AF55</f>
        <v>ATTIC R49</v>
      </c>
      <c r="C16" s="98">
        <f>'UA Optimizer'!AK55</f>
        <v>126.86914444775539</v>
      </c>
      <c r="D16" s="98">
        <v>45</v>
      </c>
      <c r="E16" s="93">
        <f>'UA Optimizer'!AH55</f>
        <v>132.47299443824662</v>
      </c>
      <c r="F16" s="100">
        <v>0</v>
      </c>
      <c r="G16" s="101" t="s">
        <v>169</v>
      </c>
    </row>
    <row r="17" spans="1:7" ht="12.75" customHeight="1">
      <c r="A17" t="str">
        <f t="shared" si="0"/>
        <v>CLASS 25 PRIME WINDOW </v>
      </c>
      <c r="B17" t="str">
        <f>'UA Optimizer'!AF56</f>
        <v>CLASS 25 PRIME WINDOW </v>
      </c>
      <c r="C17" s="98">
        <f>'UA Optimizer'!AK56</f>
        <v>1033.6887914736908</v>
      </c>
      <c r="D17" s="98">
        <v>45</v>
      </c>
      <c r="E17" s="93">
        <f>'UA Optimizer'!AH56</f>
        <v>1512</v>
      </c>
      <c r="F17" s="100">
        <v>0</v>
      </c>
      <c r="G17" s="101" t="s">
        <v>169</v>
      </c>
    </row>
    <row r="18" spans="1:7" ht="12.75" customHeight="1">
      <c r="A18" t="str">
        <f t="shared" si="0"/>
        <v>DOOR R5</v>
      </c>
      <c r="B18" t="str">
        <f>'UA Optimizer'!AF57</f>
        <v>DOOR R5</v>
      </c>
      <c r="C18" s="98">
        <f>'UA Optimizer'!AK57</f>
        <v>382.5392323469714</v>
      </c>
      <c r="D18" s="98">
        <v>45</v>
      </c>
      <c r="E18" s="93">
        <f>'UA Optimizer'!AH57</f>
        <v>600.46875</v>
      </c>
      <c r="F18" s="100">
        <v>0</v>
      </c>
      <c r="G18" s="101" t="s">
        <v>169</v>
      </c>
    </row>
    <row r="19" spans="1:7" ht="12.75" customHeight="1">
      <c r="A19" t="str">
        <f t="shared" si="0"/>
        <v>INFILTRATION @ O.35 ACH</v>
      </c>
      <c r="B19" t="str">
        <f>'UA Optimizer'!AF58</f>
        <v>INFILTRATION @ O.35 ACH</v>
      </c>
      <c r="C19" s="98">
        <f>'UA Optimizer'!AK58</f>
        <v>416.73521097274715</v>
      </c>
      <c r="D19" s="98">
        <v>45</v>
      </c>
      <c r="E19" s="93">
        <f>'UA Optimizer'!AH58</f>
        <v>1092</v>
      </c>
      <c r="F19" s="100">
        <v>0</v>
      </c>
      <c r="G19" s="101" t="s">
        <v>169</v>
      </c>
    </row>
    <row r="20" ht="12.75" customHeight="1"/>
    <row r="21" ht="12.75" customHeight="1" thickBot="1"/>
    <row r="22" spans="1:4" ht="12.75" customHeight="1" thickBot="1">
      <c r="A22" s="86" t="s">
        <v>599</v>
      </c>
      <c r="B22" s="50"/>
      <c r="C22" s="50"/>
      <c r="D22" s="51"/>
    </row>
    <row r="23" spans="1:41" ht="12.75" customHeight="1" thickBot="1">
      <c r="A23" s="52" t="s">
        <v>136</v>
      </c>
      <c r="B23" s="53"/>
      <c r="C23" s="54" t="s">
        <v>83</v>
      </c>
      <c r="D23" s="56"/>
      <c r="E23" s="56"/>
      <c r="F23" s="56"/>
      <c r="G23" s="56"/>
      <c r="H23" s="56"/>
      <c r="I23" s="56"/>
      <c r="J23" s="55"/>
      <c r="K23" s="54" t="s">
        <v>50</v>
      </c>
      <c r="L23" s="56"/>
      <c r="M23" s="55"/>
      <c r="N23" s="54" t="s">
        <v>51</v>
      </c>
      <c r="O23" s="56"/>
      <c r="P23" s="56"/>
      <c r="Q23" s="55"/>
      <c r="R23" s="54" t="s">
        <v>52</v>
      </c>
      <c r="S23" s="55"/>
      <c r="T23" s="54" t="s">
        <v>53</v>
      </c>
      <c r="U23" s="56"/>
      <c r="V23" s="56"/>
      <c r="W23" s="56"/>
      <c r="X23" s="55"/>
      <c r="Y23" s="54" t="s">
        <v>54</v>
      </c>
      <c r="Z23" s="56"/>
      <c r="AA23" s="56"/>
      <c r="AB23" s="56"/>
      <c r="AC23" s="55"/>
      <c r="AD23" s="54" t="s">
        <v>84</v>
      </c>
      <c r="AE23" s="56"/>
      <c r="AF23" s="56"/>
      <c r="AG23" s="56"/>
      <c r="AH23" s="56"/>
      <c r="AI23" s="55"/>
      <c r="AJ23" s="54" t="s">
        <v>85</v>
      </c>
      <c r="AK23" s="56"/>
      <c r="AL23" s="56"/>
      <c r="AM23" s="56"/>
      <c r="AN23" s="56"/>
      <c r="AO23" s="55"/>
    </row>
    <row r="24" spans="1:41" ht="51">
      <c r="A24" s="57" t="s">
        <v>56</v>
      </c>
      <c r="B24" s="58" t="s">
        <v>57</v>
      </c>
      <c r="C24" s="59" t="s">
        <v>86</v>
      </c>
      <c r="D24" s="59" t="s">
        <v>87</v>
      </c>
      <c r="E24" s="59" t="s">
        <v>88</v>
      </c>
      <c r="F24" s="59" t="s">
        <v>89</v>
      </c>
      <c r="G24" s="59" t="s">
        <v>155</v>
      </c>
      <c r="H24" s="59" t="s">
        <v>91</v>
      </c>
      <c r="I24" s="59" t="s">
        <v>92</v>
      </c>
      <c r="J24" s="59" t="s">
        <v>93</v>
      </c>
      <c r="K24" s="59" t="s">
        <v>94</v>
      </c>
      <c r="L24" s="59" t="s">
        <v>95</v>
      </c>
      <c r="M24" s="59" t="s">
        <v>96</v>
      </c>
      <c r="N24" s="59" t="s">
        <v>25</v>
      </c>
      <c r="O24" s="59" t="s">
        <v>26</v>
      </c>
      <c r="P24" s="59" t="s">
        <v>27</v>
      </c>
      <c r="Q24" s="59" t="s">
        <v>9</v>
      </c>
      <c r="R24" s="59" t="s">
        <v>58</v>
      </c>
      <c r="S24" s="59" t="s">
        <v>9</v>
      </c>
      <c r="T24" s="59" t="s">
        <v>25</v>
      </c>
      <c r="U24" s="59" t="s">
        <v>26</v>
      </c>
      <c r="V24" s="59" t="s">
        <v>27</v>
      </c>
      <c r="W24" s="59" t="s">
        <v>9</v>
      </c>
      <c r="X24" s="59" t="s">
        <v>62</v>
      </c>
      <c r="Y24" s="59" t="s">
        <v>25</v>
      </c>
      <c r="Z24" s="59" t="s">
        <v>26</v>
      </c>
      <c r="AA24" s="59" t="s">
        <v>27</v>
      </c>
      <c r="AB24" s="59" t="s">
        <v>9</v>
      </c>
      <c r="AC24" s="59" t="s">
        <v>62</v>
      </c>
      <c r="AD24" s="59" t="s">
        <v>97</v>
      </c>
      <c r="AE24" s="59" t="s">
        <v>98</v>
      </c>
      <c r="AF24" s="59" t="s">
        <v>61</v>
      </c>
      <c r="AG24" s="59" t="s">
        <v>99</v>
      </c>
      <c r="AH24" s="59" t="s">
        <v>100</v>
      </c>
      <c r="AI24" s="59" t="s">
        <v>101</v>
      </c>
      <c r="AJ24" s="59" t="s">
        <v>102</v>
      </c>
      <c r="AK24" s="59" t="s">
        <v>59</v>
      </c>
      <c r="AL24" s="59" t="s">
        <v>60</v>
      </c>
      <c r="AM24" s="59" t="s">
        <v>103</v>
      </c>
      <c r="AN24" s="59" t="s">
        <v>104</v>
      </c>
      <c r="AO24" s="59" t="s">
        <v>105</v>
      </c>
    </row>
    <row r="25" spans="1:41" ht="12.75" customHeight="1">
      <c r="A25" t="s">
        <v>184</v>
      </c>
      <c r="B25" t="s">
        <v>184</v>
      </c>
      <c r="C25" s="49">
        <v>45</v>
      </c>
      <c r="D25" s="49">
        <v>6759.991773884547</v>
      </c>
      <c r="E25" s="49">
        <v>299.75</v>
      </c>
      <c r="F25" s="49">
        <v>0</v>
      </c>
      <c r="G25" s="49">
        <v>0</v>
      </c>
      <c r="H25" s="49" t="s">
        <v>169</v>
      </c>
      <c r="I25" s="49">
        <v>0.21</v>
      </c>
      <c r="J25" s="49">
        <v>0.4009999930858612</v>
      </c>
      <c r="K25" s="49">
        <v>7275.441146643244</v>
      </c>
      <c r="L25" s="60">
        <v>1.5859164217767618</v>
      </c>
      <c r="M25" s="49">
        <v>3.9549038631459252</v>
      </c>
      <c r="N25" s="49"/>
      <c r="O25" s="49"/>
      <c r="P25" s="49">
        <v>299.7500639611959</v>
      </c>
      <c r="Q25" s="49">
        <v>0</v>
      </c>
      <c r="R25" s="49">
        <v>0</v>
      </c>
      <c r="S25" s="49">
        <v>0</v>
      </c>
      <c r="T25" s="49">
        <v>0</v>
      </c>
      <c r="U25" s="49">
        <v>0</v>
      </c>
      <c r="V25" s="49">
        <v>299.7500639611959</v>
      </c>
      <c r="W25" s="49">
        <v>0</v>
      </c>
      <c r="X25" s="49">
        <v>299.7500639611959</v>
      </c>
      <c r="Y25" s="49">
        <v>0</v>
      </c>
      <c r="Z25" s="49">
        <v>0</v>
      </c>
      <c r="AA25" s="49">
        <v>2.2337753772735596</v>
      </c>
      <c r="AB25" s="49">
        <v>0</v>
      </c>
      <c r="AC25" s="49">
        <v>2.2337753382138272</v>
      </c>
      <c r="AD25" s="49">
        <v>3062.4499148252303</v>
      </c>
      <c r="AE25" s="49">
        <v>87.75300829352351</v>
      </c>
      <c r="AF25" s="49">
        <v>453.8971252441406</v>
      </c>
      <c r="AG25" s="49">
        <v>3600.1207938594716</v>
      </c>
      <c r="AH25" s="49">
        <v>299.7500639611959</v>
      </c>
      <c r="AI25" s="48">
        <v>12.010408759497462</v>
      </c>
      <c r="AJ25" s="49">
        <v>1458.9029541015625</v>
      </c>
      <c r="AK25" s="49">
        <v>0</v>
      </c>
      <c r="AL25" s="49">
        <v>0</v>
      </c>
      <c r="AM25" s="49">
        <v>5059.02392578125</v>
      </c>
      <c r="AN25" s="49">
        <v>299.7500639611959</v>
      </c>
      <c r="AO25" s="48">
        <v>16.877473831176758</v>
      </c>
    </row>
    <row r="26" spans="1:41" ht="12.75" customHeight="1">
      <c r="A26" t="s">
        <v>172</v>
      </c>
      <c r="B26" t="s">
        <v>172</v>
      </c>
      <c r="C26" s="49">
        <v>45</v>
      </c>
      <c r="D26" s="49">
        <v>2902.210835790953</v>
      </c>
      <c r="E26" s="49">
        <v>627.53</v>
      </c>
      <c r="F26" s="49">
        <v>0</v>
      </c>
      <c r="G26" s="49">
        <v>0</v>
      </c>
      <c r="H26" s="49" t="s">
        <v>169</v>
      </c>
      <c r="I26" s="49">
        <v>0.21</v>
      </c>
      <c r="J26" s="49">
        <v>0.4009999930858612</v>
      </c>
      <c r="K26" s="49">
        <v>3123.5044120200128</v>
      </c>
      <c r="L26" s="60">
        <v>0.6808682581124604</v>
      </c>
      <c r="M26" s="49">
        <v>1.6979258599804377</v>
      </c>
      <c r="N26" s="49"/>
      <c r="O26" s="49"/>
      <c r="P26" s="49">
        <v>627.5307339036118</v>
      </c>
      <c r="Q26" s="49">
        <v>0</v>
      </c>
      <c r="R26" s="49">
        <v>0</v>
      </c>
      <c r="S26" s="49">
        <v>0</v>
      </c>
      <c r="T26" s="49">
        <v>0</v>
      </c>
      <c r="U26" s="49">
        <v>0</v>
      </c>
      <c r="V26" s="49">
        <v>627.5307339036118</v>
      </c>
      <c r="W26" s="49">
        <v>0</v>
      </c>
      <c r="X26" s="49">
        <v>627.5307339036118</v>
      </c>
      <c r="Y26" s="49">
        <v>0</v>
      </c>
      <c r="Z26" s="49">
        <v>0</v>
      </c>
      <c r="AA26" s="49">
        <v>10.892621994018555</v>
      </c>
      <c r="AB26" s="49">
        <v>0</v>
      </c>
      <c r="AC26" s="49">
        <v>10.892621583612254</v>
      </c>
      <c r="AD26" s="49">
        <v>1314.7760565639783</v>
      </c>
      <c r="AE26" s="49">
        <v>37.674266487512305</v>
      </c>
      <c r="AF26" s="49">
        <v>194.86785888671875</v>
      </c>
      <c r="AG26" s="49">
        <v>1545.6098018211183</v>
      </c>
      <c r="AH26" s="49">
        <v>627.5307339036118</v>
      </c>
      <c r="AI26" s="48">
        <v>2.4630025563951463</v>
      </c>
      <c r="AJ26" s="49">
        <v>626.3386840820312</v>
      </c>
      <c r="AK26" s="49">
        <v>0</v>
      </c>
      <c r="AL26" s="49">
        <v>0</v>
      </c>
      <c r="AM26" s="49">
        <v>2171.948486328125</v>
      </c>
      <c r="AN26" s="49">
        <v>627.5307339036118</v>
      </c>
      <c r="AO26" s="48">
        <v>3.4611029624938965</v>
      </c>
    </row>
    <row r="27" spans="1:41" ht="12.75" customHeight="1">
      <c r="A27" t="s">
        <v>173</v>
      </c>
      <c r="B27" t="s">
        <v>173</v>
      </c>
      <c r="C27" s="49">
        <v>45</v>
      </c>
      <c r="D27" s="49">
        <v>1427.3735477830742</v>
      </c>
      <c r="E27" s="49">
        <v>436.8</v>
      </c>
      <c r="F27" s="49">
        <v>0</v>
      </c>
      <c r="G27" s="49">
        <v>0</v>
      </c>
      <c r="H27" s="49" t="s">
        <v>169</v>
      </c>
      <c r="I27" s="49">
        <v>0.21</v>
      </c>
      <c r="J27" s="49">
        <v>0.4009999930858612</v>
      </c>
      <c r="K27" s="49">
        <v>1536.2107808015335</v>
      </c>
      <c r="L27" s="60">
        <v>0.3348665538594479</v>
      </c>
      <c r="M27" s="49">
        <v>0.8350787023274263</v>
      </c>
      <c r="N27" s="49"/>
      <c r="O27" s="49"/>
      <c r="P27" s="49">
        <v>436.8000932051722</v>
      </c>
      <c r="Q27" s="49">
        <v>0</v>
      </c>
      <c r="R27" s="49">
        <v>0</v>
      </c>
      <c r="S27" s="49">
        <v>0</v>
      </c>
      <c r="T27" s="49">
        <v>0</v>
      </c>
      <c r="U27" s="49">
        <v>0</v>
      </c>
      <c r="V27" s="49">
        <v>436.8000932051722</v>
      </c>
      <c r="W27" s="49">
        <v>0</v>
      </c>
      <c r="X27" s="49">
        <v>436.8000932051722</v>
      </c>
      <c r="Y27" s="49">
        <v>0</v>
      </c>
      <c r="Z27" s="49">
        <v>0</v>
      </c>
      <c r="AA27" s="49">
        <v>15.415990829467773</v>
      </c>
      <c r="AB27" s="49">
        <v>0</v>
      </c>
      <c r="AC27" s="49">
        <v>15.415991177867655</v>
      </c>
      <c r="AD27" s="49">
        <v>646.6368815298354</v>
      </c>
      <c r="AE27" s="49">
        <v>18.529064378518783</v>
      </c>
      <c r="AF27" s="49">
        <v>95.84046173095703</v>
      </c>
      <c r="AG27" s="49">
        <v>760.1661872946614</v>
      </c>
      <c r="AH27" s="49">
        <v>436.8000932051722</v>
      </c>
      <c r="AI27" s="48">
        <v>1.7403068339951084</v>
      </c>
      <c r="AJ27" s="49">
        <v>308.047607421875</v>
      </c>
      <c r="AK27" s="49">
        <v>0</v>
      </c>
      <c r="AL27" s="49">
        <v>0</v>
      </c>
      <c r="AM27" s="49">
        <v>1068.2137451171875</v>
      </c>
      <c r="AN27" s="49">
        <v>436.8000932051722</v>
      </c>
      <c r="AO27" s="48">
        <v>2.4455437660217285</v>
      </c>
    </row>
    <row r="28" spans="1:41" ht="12.75" customHeight="1">
      <c r="A28" t="s">
        <v>171</v>
      </c>
      <c r="B28" t="s">
        <v>171</v>
      </c>
      <c r="C28" s="49">
        <v>45</v>
      </c>
      <c r="D28" s="49">
        <v>3500.9703732569724</v>
      </c>
      <c r="E28" s="49">
        <v>1228.29</v>
      </c>
      <c r="F28" s="49">
        <v>0</v>
      </c>
      <c r="G28" s="49">
        <v>0</v>
      </c>
      <c r="H28" s="49" t="s">
        <v>169</v>
      </c>
      <c r="I28" s="49">
        <v>0.21</v>
      </c>
      <c r="J28" s="49">
        <v>0.4009999930858612</v>
      </c>
      <c r="K28" s="49">
        <v>3767.9193642178166</v>
      </c>
      <c r="L28" s="60">
        <v>0.8213392253747702</v>
      </c>
      <c r="M28" s="49">
        <v>2.0482275300162085</v>
      </c>
      <c r="N28" s="49"/>
      <c r="O28" s="49"/>
      <c r="P28" s="49">
        <v>1228.2885620943737</v>
      </c>
      <c r="Q28" s="49">
        <v>0</v>
      </c>
      <c r="R28" s="49">
        <v>0</v>
      </c>
      <c r="S28" s="49">
        <v>0</v>
      </c>
      <c r="T28" s="49">
        <v>0</v>
      </c>
      <c r="U28" s="49">
        <v>0</v>
      </c>
      <c r="V28" s="49">
        <v>1228.2885620943737</v>
      </c>
      <c r="W28" s="49">
        <v>0</v>
      </c>
      <c r="X28" s="49">
        <v>1228.2885620943737</v>
      </c>
      <c r="Y28" s="49">
        <v>0</v>
      </c>
      <c r="Z28" s="49">
        <v>0</v>
      </c>
      <c r="AA28" s="49">
        <v>17.674142837524414</v>
      </c>
      <c r="AB28" s="49">
        <v>0</v>
      </c>
      <c r="AC28" s="49">
        <v>17.674142285429046</v>
      </c>
      <c r="AD28" s="49">
        <v>1586.0295071373228</v>
      </c>
      <c r="AE28" s="49">
        <v>45.44690178273082</v>
      </c>
      <c r="AF28" s="49">
        <v>235.0713348388672</v>
      </c>
      <c r="AG28" s="49">
        <v>1864.4869051380879</v>
      </c>
      <c r="AH28" s="49">
        <v>1228.2885620943737</v>
      </c>
      <c r="AI28" s="48">
        <v>1.5179551146832488</v>
      </c>
      <c r="AJ28" s="49">
        <v>755.5594482421875</v>
      </c>
      <c r="AK28" s="49">
        <v>0</v>
      </c>
      <c r="AL28" s="49">
        <v>0</v>
      </c>
      <c r="AM28" s="49">
        <v>2620.04638671875</v>
      </c>
      <c r="AN28" s="49">
        <v>1228.2885620943737</v>
      </c>
      <c r="AO28" s="48">
        <v>2.133086919784546</v>
      </c>
    </row>
    <row r="29" spans="1:41" ht="12.75" customHeight="1">
      <c r="A29" t="s">
        <v>174</v>
      </c>
      <c r="B29" t="s">
        <v>174</v>
      </c>
      <c r="C29" s="49">
        <v>45</v>
      </c>
      <c r="D29" s="49">
        <v>385.4580933053803</v>
      </c>
      <c r="E29" s="49">
        <v>144.6</v>
      </c>
      <c r="F29" s="49">
        <v>0</v>
      </c>
      <c r="G29" s="49">
        <v>0</v>
      </c>
      <c r="H29" s="49" t="s">
        <v>169</v>
      </c>
      <c r="I29" s="49">
        <v>0.21</v>
      </c>
      <c r="J29" s="49">
        <v>0.4009999930858612</v>
      </c>
      <c r="K29" s="49">
        <v>414.84927291991556</v>
      </c>
      <c r="L29" s="60">
        <v>0.09042974319012866</v>
      </c>
      <c r="M29" s="49">
        <v>0.2255105854098258</v>
      </c>
      <c r="N29" s="49"/>
      <c r="O29" s="49"/>
      <c r="P29" s="49">
        <v>144.59893085477418</v>
      </c>
      <c r="Q29" s="49">
        <v>0</v>
      </c>
      <c r="R29" s="49">
        <v>0</v>
      </c>
      <c r="S29" s="49">
        <v>0</v>
      </c>
      <c r="T29" s="49">
        <v>0</v>
      </c>
      <c r="U29" s="49">
        <v>0</v>
      </c>
      <c r="V29" s="49">
        <v>144.59893085477418</v>
      </c>
      <c r="W29" s="49">
        <v>0</v>
      </c>
      <c r="X29" s="49">
        <v>144.59893085477418</v>
      </c>
      <c r="Y29" s="49">
        <v>0</v>
      </c>
      <c r="Z29" s="49">
        <v>0</v>
      </c>
      <c r="AA29" s="49">
        <v>18.897932052612305</v>
      </c>
      <c r="AB29" s="49">
        <v>0</v>
      </c>
      <c r="AC29" s="49">
        <v>18.89793225939338</v>
      </c>
      <c r="AD29" s="49">
        <v>174.62241737809512</v>
      </c>
      <c r="AE29" s="49">
        <v>5.003720180445664</v>
      </c>
      <c r="AF29" s="49">
        <v>25.881439208984375</v>
      </c>
      <c r="AG29" s="49">
        <v>205.28067769649496</v>
      </c>
      <c r="AH29" s="49">
        <v>144.59893085477418</v>
      </c>
      <c r="AI29" s="48">
        <v>1.4196555706394924</v>
      </c>
      <c r="AJ29" s="49">
        <v>83.18736267089844</v>
      </c>
      <c r="AK29" s="49">
        <v>0</v>
      </c>
      <c r="AL29" s="49">
        <v>0</v>
      </c>
      <c r="AM29" s="49">
        <v>288.4680480957031</v>
      </c>
      <c r="AN29" s="49">
        <v>144.59893085477418</v>
      </c>
      <c r="AO29" s="48">
        <v>1.9949527978897095</v>
      </c>
    </row>
    <row r="30" spans="1:41" ht="12.75" customHeight="1">
      <c r="A30" t="s">
        <v>177</v>
      </c>
      <c r="B30" t="s">
        <v>177</v>
      </c>
      <c r="C30" s="49">
        <v>45</v>
      </c>
      <c r="D30" s="49">
        <v>576.7169296689572</v>
      </c>
      <c r="E30" s="49">
        <v>240.51</v>
      </c>
      <c r="F30" s="49">
        <v>0</v>
      </c>
      <c r="G30" s="49">
        <v>0</v>
      </c>
      <c r="H30" s="49" t="s">
        <v>169</v>
      </c>
      <c r="I30" s="49">
        <v>0.21</v>
      </c>
      <c r="J30" s="49">
        <v>0.4009999930858612</v>
      </c>
      <c r="K30" s="49">
        <v>620.6915955562151</v>
      </c>
      <c r="L30" s="60">
        <v>0.13529969859017965</v>
      </c>
      <c r="M30" s="49">
        <v>0.33740573796271756</v>
      </c>
      <c r="N30" s="49"/>
      <c r="O30" s="49"/>
      <c r="P30" s="49">
        <v>240.50525131943357</v>
      </c>
      <c r="Q30" s="49">
        <v>0</v>
      </c>
      <c r="R30" s="49">
        <v>0</v>
      </c>
      <c r="S30" s="49">
        <v>0</v>
      </c>
      <c r="T30" s="49">
        <v>0</v>
      </c>
      <c r="U30" s="49">
        <v>0</v>
      </c>
      <c r="V30" s="49">
        <v>240.50525131943357</v>
      </c>
      <c r="W30" s="49">
        <v>0</v>
      </c>
      <c r="X30" s="49">
        <v>240.50525131943357</v>
      </c>
      <c r="Y30" s="49">
        <v>0</v>
      </c>
      <c r="Z30" s="49">
        <v>0</v>
      </c>
      <c r="AA30" s="49">
        <v>21.00817108154297</v>
      </c>
      <c r="AB30" s="49">
        <v>0</v>
      </c>
      <c r="AC30" s="49">
        <v>21.008170713794456</v>
      </c>
      <c r="AD30" s="49">
        <v>261.2675830414595</v>
      </c>
      <c r="AE30" s="49">
        <v>7.486495132696562</v>
      </c>
      <c r="AF30" s="49">
        <v>38.72343826293945</v>
      </c>
      <c r="AG30" s="49">
        <v>307.13803326664976</v>
      </c>
      <c r="AH30" s="49">
        <v>240.50525131943357</v>
      </c>
      <c r="AI30" s="48">
        <v>1.2770533349341135</v>
      </c>
      <c r="AJ30" s="49">
        <v>124.46373748779297</v>
      </c>
      <c r="AK30" s="49">
        <v>0</v>
      </c>
      <c r="AL30" s="49">
        <v>0</v>
      </c>
      <c r="AM30" s="49">
        <v>431.6017761230469</v>
      </c>
      <c r="AN30" s="49">
        <v>240.50525131943357</v>
      </c>
      <c r="AO30" s="48">
        <v>1.794562816619873</v>
      </c>
    </row>
    <row r="31" spans="1:41" ht="12.75" customHeight="1">
      <c r="A31" t="s">
        <v>176</v>
      </c>
      <c r="B31" t="s">
        <v>176</v>
      </c>
      <c r="C31" s="49">
        <v>45</v>
      </c>
      <c r="D31" s="49">
        <v>327.9525883390379</v>
      </c>
      <c r="E31" s="49">
        <v>182</v>
      </c>
      <c r="F31" s="49">
        <v>0</v>
      </c>
      <c r="G31" s="49">
        <v>0</v>
      </c>
      <c r="H31" s="49" t="s">
        <v>169</v>
      </c>
      <c r="I31" s="49">
        <v>0.21</v>
      </c>
      <c r="J31" s="49">
        <v>0.4009999930858612</v>
      </c>
      <c r="K31" s="49">
        <v>352.95897319988956</v>
      </c>
      <c r="L31" s="60">
        <v>0.07693876158553403</v>
      </c>
      <c r="M31" s="49">
        <v>0.19186723918237095</v>
      </c>
      <c r="N31" s="49"/>
      <c r="O31" s="49"/>
      <c r="P31" s="49">
        <v>182.0000388354884</v>
      </c>
      <c r="Q31" s="49">
        <v>0</v>
      </c>
      <c r="R31" s="49">
        <v>0</v>
      </c>
      <c r="S31" s="49">
        <v>0</v>
      </c>
      <c r="T31" s="49">
        <v>0</v>
      </c>
      <c r="U31" s="49">
        <v>0</v>
      </c>
      <c r="V31" s="49">
        <v>182.0000388354884</v>
      </c>
      <c r="W31" s="49">
        <v>0</v>
      </c>
      <c r="X31" s="49">
        <v>182.0000388354884</v>
      </c>
      <c r="Y31" s="49">
        <v>0</v>
      </c>
      <c r="Z31" s="49">
        <v>0</v>
      </c>
      <c r="AA31" s="49">
        <v>27.956756591796875</v>
      </c>
      <c r="AB31" s="49">
        <v>0</v>
      </c>
      <c r="AC31" s="49">
        <v>27.956757067118804</v>
      </c>
      <c r="AD31" s="49">
        <v>148.5709465070057</v>
      </c>
      <c r="AE31" s="49">
        <v>4.257227991841285</v>
      </c>
      <c r="AF31" s="49">
        <v>22.020252227783203</v>
      </c>
      <c r="AG31" s="49">
        <v>174.65537814643827</v>
      </c>
      <c r="AH31" s="49">
        <v>182.0000388354884</v>
      </c>
      <c r="AI31" s="69">
        <v>0.9596447300998159</v>
      </c>
      <c r="AJ31" s="49">
        <v>70.77685546875</v>
      </c>
      <c r="AK31" s="49">
        <v>0</v>
      </c>
      <c r="AL31" s="49">
        <v>0</v>
      </c>
      <c r="AM31" s="49">
        <v>245.43223571777344</v>
      </c>
      <c r="AN31" s="49">
        <v>182.0000388354884</v>
      </c>
      <c r="AO31" s="48">
        <v>1.348528504371643</v>
      </c>
    </row>
    <row r="32" spans="1:41" ht="12.75" customHeight="1">
      <c r="A32" t="s">
        <v>488</v>
      </c>
      <c r="B32" t="s">
        <v>488</v>
      </c>
      <c r="C32" s="49">
        <v>45</v>
      </c>
      <c r="D32" s="49">
        <v>8696.810842501114</v>
      </c>
      <c r="E32" s="49">
        <v>5043.89</v>
      </c>
      <c r="F32" s="49">
        <v>0</v>
      </c>
      <c r="G32" s="49">
        <v>0</v>
      </c>
      <c r="H32" s="49" t="s">
        <v>169</v>
      </c>
      <c r="I32" s="49">
        <v>0.21</v>
      </c>
      <c r="J32" s="49">
        <v>0.4009999930858612</v>
      </c>
      <c r="K32" s="49">
        <v>9359.942669241824</v>
      </c>
      <c r="L32" s="60">
        <v>2.0403005792835556</v>
      </c>
      <c r="M32" s="49">
        <v>5.088031457513495</v>
      </c>
      <c r="N32" s="49"/>
      <c r="O32" s="49"/>
      <c r="P32" s="49">
        <v>5043.895976275396</v>
      </c>
      <c r="Q32" s="49">
        <v>0</v>
      </c>
      <c r="R32" s="49">
        <v>0</v>
      </c>
      <c r="S32" s="49">
        <v>0</v>
      </c>
      <c r="T32" s="49">
        <v>0</v>
      </c>
      <c r="U32" s="49">
        <v>0</v>
      </c>
      <c r="V32" s="49">
        <v>5043.895976275396</v>
      </c>
      <c r="W32" s="49">
        <v>0</v>
      </c>
      <c r="X32" s="49">
        <v>5043.895976275396</v>
      </c>
      <c r="Y32" s="49">
        <v>0</v>
      </c>
      <c r="Z32" s="49">
        <v>0</v>
      </c>
      <c r="AA32" s="49">
        <v>29.216787338256836</v>
      </c>
      <c r="AB32" s="49">
        <v>0</v>
      </c>
      <c r="AC32" s="49">
        <v>29.216788177468096</v>
      </c>
      <c r="AD32" s="49">
        <v>3939.8787032197815</v>
      </c>
      <c r="AE32" s="49">
        <v>112.89530217144907</v>
      </c>
      <c r="AF32" s="49">
        <v>583.944091796875</v>
      </c>
      <c r="AG32" s="49">
        <v>4631.598738338567</v>
      </c>
      <c r="AH32" s="49">
        <v>5043.895976275396</v>
      </c>
      <c r="AI32" s="69">
        <v>0.9182581798125654</v>
      </c>
      <c r="AJ32" s="49">
        <v>1876.8963623046875</v>
      </c>
      <c r="AK32" s="49">
        <v>0</v>
      </c>
      <c r="AL32" s="49">
        <v>0</v>
      </c>
      <c r="AM32" s="49">
        <v>6508.4951171875</v>
      </c>
      <c r="AN32" s="49">
        <v>5043.895976275396</v>
      </c>
      <c r="AO32" s="48">
        <v>1.2903705835342407</v>
      </c>
    </row>
    <row r="33" spans="1:41" ht="12.75" customHeight="1">
      <c r="A33" t="s">
        <v>185</v>
      </c>
      <c r="B33" t="s">
        <v>185</v>
      </c>
      <c r="C33" s="49">
        <v>45</v>
      </c>
      <c r="D33" s="49">
        <v>658.2105564312242</v>
      </c>
      <c r="E33" s="49">
        <v>406.08</v>
      </c>
      <c r="F33" s="49">
        <v>0</v>
      </c>
      <c r="G33" s="49">
        <v>0</v>
      </c>
      <c r="H33" s="49" t="s">
        <v>169</v>
      </c>
      <c r="I33" s="49">
        <v>0.21</v>
      </c>
      <c r="J33" s="49">
        <v>0.4009999930858612</v>
      </c>
      <c r="K33" s="49">
        <v>708.399111359105</v>
      </c>
      <c r="L33" s="60">
        <v>0.1544183728837961</v>
      </c>
      <c r="M33" s="49">
        <v>0.38508323078881546</v>
      </c>
      <c r="N33" s="49"/>
      <c r="O33" s="49"/>
      <c r="P33" s="49">
        <v>406.08008665008316</v>
      </c>
      <c r="Q33" s="49">
        <v>0</v>
      </c>
      <c r="R33" s="49">
        <v>0</v>
      </c>
      <c r="S33" s="49">
        <v>0</v>
      </c>
      <c r="T33" s="49">
        <v>0</v>
      </c>
      <c r="U33" s="49">
        <v>0</v>
      </c>
      <c r="V33" s="49">
        <v>406.08008665008316</v>
      </c>
      <c r="W33" s="49">
        <v>0</v>
      </c>
      <c r="X33" s="49">
        <v>406.08008665008316</v>
      </c>
      <c r="Y33" s="49">
        <v>0</v>
      </c>
      <c r="Z33" s="49">
        <v>0</v>
      </c>
      <c r="AA33" s="49">
        <v>31.079442977905273</v>
      </c>
      <c r="AB33" s="49">
        <v>0</v>
      </c>
      <c r="AC33" s="49">
        <v>31.079442844391334</v>
      </c>
      <c r="AD33" s="49">
        <v>298.18628925957137</v>
      </c>
      <c r="AE33" s="49">
        <v>8.544382648590547</v>
      </c>
      <c r="AF33" s="49">
        <v>44.1953010559082</v>
      </c>
      <c r="AG33" s="49">
        <v>350.53851874689224</v>
      </c>
      <c r="AH33" s="49">
        <v>406.08008665008316</v>
      </c>
      <c r="AI33" s="69">
        <v>0.8632250885253313</v>
      </c>
      <c r="AJ33" s="49">
        <v>142.05125427246094</v>
      </c>
      <c r="AK33" s="49">
        <v>0</v>
      </c>
      <c r="AL33" s="49">
        <v>0</v>
      </c>
      <c r="AM33" s="49">
        <v>492.58978271484375</v>
      </c>
      <c r="AN33" s="49">
        <v>406.08008665008316</v>
      </c>
      <c r="AO33" s="48">
        <v>1.213036060333252</v>
      </c>
    </row>
    <row r="34" spans="1:41" ht="12.75" customHeight="1">
      <c r="A34" t="s">
        <v>179</v>
      </c>
      <c r="B34" t="s">
        <v>179</v>
      </c>
      <c r="C34" s="49">
        <v>45</v>
      </c>
      <c r="D34" s="49">
        <v>101.49531555820795</v>
      </c>
      <c r="E34" s="49">
        <v>94.64</v>
      </c>
      <c r="F34" s="49">
        <v>0</v>
      </c>
      <c r="G34" s="49">
        <v>0</v>
      </c>
      <c r="H34" s="49" t="s">
        <v>169</v>
      </c>
      <c r="I34" s="49">
        <v>0.21</v>
      </c>
      <c r="J34" s="49">
        <v>0.4009999930858612</v>
      </c>
      <c r="K34" s="49">
        <v>109.2343333695213</v>
      </c>
      <c r="L34" s="60">
        <v>0.023811136619872095</v>
      </c>
      <c r="M34" s="49">
        <v>0.05937939409084655</v>
      </c>
      <c r="N34" s="49"/>
      <c r="O34" s="49"/>
      <c r="P34" s="49">
        <v>94.64002019445397</v>
      </c>
      <c r="Q34" s="49">
        <v>0</v>
      </c>
      <c r="R34" s="49">
        <v>0</v>
      </c>
      <c r="S34" s="49">
        <v>0</v>
      </c>
      <c r="T34" s="49">
        <v>0</v>
      </c>
      <c r="U34" s="49">
        <v>0</v>
      </c>
      <c r="V34" s="49">
        <v>94.64002019445397</v>
      </c>
      <c r="W34" s="49">
        <v>0</v>
      </c>
      <c r="X34" s="49">
        <v>94.64002019445397</v>
      </c>
      <c r="Y34" s="49">
        <v>0</v>
      </c>
      <c r="Z34" s="49">
        <v>0</v>
      </c>
      <c r="AA34" s="49">
        <v>46.97374725341797</v>
      </c>
      <c r="AB34" s="49">
        <v>0</v>
      </c>
      <c r="AC34" s="49">
        <v>46.973746635271574</v>
      </c>
      <c r="AD34" s="49">
        <v>45.97998501820403</v>
      </c>
      <c r="AE34" s="49">
        <v>1.3175340393669133</v>
      </c>
      <c r="AF34" s="49">
        <v>6.814864158630371</v>
      </c>
      <c r="AG34" s="49">
        <v>54.05263821871898</v>
      </c>
      <c r="AH34" s="49">
        <v>94.64002019445397</v>
      </c>
      <c r="AI34" s="69">
        <v>0.5711393352163141</v>
      </c>
      <c r="AJ34" s="49">
        <v>21.904136657714844</v>
      </c>
      <c r="AK34" s="49">
        <v>0</v>
      </c>
      <c r="AL34" s="49">
        <v>0</v>
      </c>
      <c r="AM34" s="49">
        <v>75.95677185058594</v>
      </c>
      <c r="AN34" s="49">
        <v>94.64002019445397</v>
      </c>
      <c r="AO34" s="69">
        <v>0.8025861978530884</v>
      </c>
    </row>
    <row r="35" spans="1:41" ht="12.75" customHeight="1">
      <c r="A35" t="s">
        <v>178</v>
      </c>
      <c r="B35" t="s">
        <v>178</v>
      </c>
      <c r="C35" s="49">
        <v>45</v>
      </c>
      <c r="D35" s="49">
        <v>126.86914444775539</v>
      </c>
      <c r="E35" s="49">
        <v>132.47</v>
      </c>
      <c r="F35" s="49">
        <v>0</v>
      </c>
      <c r="G35" s="49">
        <v>0</v>
      </c>
      <c r="H35" s="49" t="s">
        <v>169</v>
      </c>
      <c r="I35" s="49">
        <v>0.21</v>
      </c>
      <c r="J35" s="49">
        <v>0.4009999930858612</v>
      </c>
      <c r="K35" s="49">
        <v>136.54291671189674</v>
      </c>
      <c r="L35" s="60">
        <v>0.02976392077483905</v>
      </c>
      <c r="M35" s="49">
        <v>0.07422424261355552</v>
      </c>
      <c r="N35" s="49"/>
      <c r="O35" s="49"/>
      <c r="P35" s="49">
        <v>132.4730282673278</v>
      </c>
      <c r="Q35" s="49">
        <v>0</v>
      </c>
      <c r="R35" s="49">
        <v>0</v>
      </c>
      <c r="S35" s="49">
        <v>0</v>
      </c>
      <c r="T35" s="49">
        <v>0</v>
      </c>
      <c r="U35" s="49">
        <v>0</v>
      </c>
      <c r="V35" s="49">
        <v>132.4730282673278</v>
      </c>
      <c r="W35" s="49">
        <v>0</v>
      </c>
      <c r="X35" s="49">
        <v>132.4730282673278</v>
      </c>
      <c r="Y35" s="49">
        <v>0</v>
      </c>
      <c r="Z35" s="49">
        <v>0</v>
      </c>
      <c r="AA35" s="49">
        <v>52.601463317871094</v>
      </c>
      <c r="AB35" s="49">
        <v>0</v>
      </c>
      <c r="AC35" s="49">
        <v>52.6014635504189</v>
      </c>
      <c r="AD35" s="49">
        <v>57.4749812727527</v>
      </c>
      <c r="AE35" s="49">
        <v>1.6469175492085824</v>
      </c>
      <c r="AF35" s="49">
        <v>8.51858139038086</v>
      </c>
      <c r="AG35" s="49">
        <v>67.56579896548922</v>
      </c>
      <c r="AH35" s="49">
        <v>132.4730282673278</v>
      </c>
      <c r="AI35" s="69">
        <v>0.5100343809544601</v>
      </c>
      <c r="AJ35" s="49">
        <v>27.38017463684082</v>
      </c>
      <c r="AK35" s="49">
        <v>0</v>
      </c>
      <c r="AL35" s="49">
        <v>0</v>
      </c>
      <c r="AM35" s="49">
        <v>94.94597625732422</v>
      </c>
      <c r="AN35" s="49">
        <v>132.4730282673278</v>
      </c>
      <c r="AO35" s="69">
        <v>0.7167193293571472</v>
      </c>
    </row>
    <row r="36" spans="1:41" ht="12.75" customHeight="1">
      <c r="A36" t="s">
        <v>500</v>
      </c>
      <c r="B36" t="s">
        <v>489</v>
      </c>
      <c r="C36" s="49">
        <v>45</v>
      </c>
      <c r="D36" s="49">
        <v>1033.6887914736908</v>
      </c>
      <c r="E36" s="49">
        <v>1512</v>
      </c>
      <c r="F36" s="49">
        <v>0</v>
      </c>
      <c r="G36" s="49">
        <v>0</v>
      </c>
      <c r="H36" s="49" t="s">
        <v>169</v>
      </c>
      <c r="I36" s="49">
        <v>0.21</v>
      </c>
      <c r="J36" s="49">
        <v>0.4009999930858612</v>
      </c>
      <c r="K36" s="49">
        <v>1112.5075618235596</v>
      </c>
      <c r="L36" s="60">
        <v>0.242506808327471</v>
      </c>
      <c r="M36" s="49">
        <v>0.6047551434135462</v>
      </c>
      <c r="N36" s="49"/>
      <c r="O36" s="49"/>
      <c r="P36" s="49">
        <v>1512.0003226332883</v>
      </c>
      <c r="Q36" s="49">
        <v>0</v>
      </c>
      <c r="R36" s="49">
        <v>0</v>
      </c>
      <c r="S36" s="49">
        <v>0</v>
      </c>
      <c r="T36" s="49">
        <v>0</v>
      </c>
      <c r="U36" s="49">
        <v>0</v>
      </c>
      <c r="V36" s="49">
        <v>1512.0003226332883</v>
      </c>
      <c r="W36" s="49">
        <v>0</v>
      </c>
      <c r="X36" s="49">
        <v>1512.0003226332883</v>
      </c>
      <c r="Y36" s="49">
        <v>0</v>
      </c>
      <c r="Z36" s="49">
        <v>0</v>
      </c>
      <c r="AA36" s="49">
        <v>73.68659210205078</v>
      </c>
      <c r="AB36" s="49">
        <v>0</v>
      </c>
      <c r="AC36" s="49">
        <v>73.68658871726184</v>
      </c>
      <c r="AD36" s="49">
        <v>468.287574495864</v>
      </c>
      <c r="AE36" s="49">
        <v>13.4185519931466</v>
      </c>
      <c r="AF36" s="49">
        <v>69.40664672851562</v>
      </c>
      <c r="AG36" s="49">
        <v>550.5042945512503</v>
      </c>
      <c r="AH36" s="49">
        <v>1512.0003226332883</v>
      </c>
      <c r="AI36" s="69">
        <v>0.36409006420878015</v>
      </c>
      <c r="AJ36" s="49">
        <v>223.08485412597656</v>
      </c>
      <c r="AK36" s="49">
        <v>0</v>
      </c>
      <c r="AL36" s="49">
        <v>0</v>
      </c>
      <c r="AM36" s="49">
        <v>773.5891723632812</v>
      </c>
      <c r="AN36" s="49">
        <v>1512.0003226332883</v>
      </c>
      <c r="AO36" s="69">
        <v>0.5116329193115234</v>
      </c>
    </row>
    <row r="37" spans="1:41" ht="12.75" customHeight="1">
      <c r="A37" t="s">
        <v>180</v>
      </c>
      <c r="B37" t="s">
        <v>180</v>
      </c>
      <c r="C37" s="49">
        <v>45</v>
      </c>
      <c r="D37" s="49">
        <v>382.5392323469714</v>
      </c>
      <c r="E37" s="49">
        <v>600.47</v>
      </c>
      <c r="F37" s="49">
        <v>0</v>
      </c>
      <c r="G37" s="49">
        <v>0</v>
      </c>
      <c r="H37" s="49" t="s">
        <v>169</v>
      </c>
      <c r="I37" s="49">
        <v>0.21</v>
      </c>
      <c r="J37" s="49">
        <v>0.4009999930858612</v>
      </c>
      <c r="K37" s="49">
        <v>411.7078488134279</v>
      </c>
      <c r="L37" s="60">
        <v>0.0897449687581971</v>
      </c>
      <c r="M37" s="49">
        <v>0.22380291846783426</v>
      </c>
      <c r="N37" s="49"/>
      <c r="O37" s="49"/>
      <c r="P37" s="49">
        <v>600.4689281291161</v>
      </c>
      <c r="Q37" s="49">
        <v>0</v>
      </c>
      <c r="R37" s="49">
        <v>0</v>
      </c>
      <c r="S37" s="49">
        <v>0</v>
      </c>
      <c r="T37" s="49">
        <v>0</v>
      </c>
      <c r="U37" s="49">
        <v>0</v>
      </c>
      <c r="V37" s="49">
        <v>600.4689281291161</v>
      </c>
      <c r="W37" s="49">
        <v>0</v>
      </c>
      <c r="X37" s="49">
        <v>600.4689281291161</v>
      </c>
      <c r="Y37" s="49">
        <v>0</v>
      </c>
      <c r="Z37" s="49">
        <v>0</v>
      </c>
      <c r="AA37" s="49">
        <v>79.0753173828125</v>
      </c>
      <c r="AB37" s="49">
        <v>0</v>
      </c>
      <c r="AC37" s="49">
        <v>79.07531527810842</v>
      </c>
      <c r="AD37" s="49">
        <v>173.30009838830028</v>
      </c>
      <c r="AE37" s="49">
        <v>4.965829774886237</v>
      </c>
      <c r="AF37" s="49">
        <v>25.68545150756836</v>
      </c>
      <c r="AG37" s="49">
        <v>203.72619878090035</v>
      </c>
      <c r="AH37" s="49">
        <v>600.4689281291161</v>
      </c>
      <c r="AI37" s="69">
        <v>0.33927850257906106</v>
      </c>
      <c r="AJ37" s="49">
        <v>82.55741882324219</v>
      </c>
      <c r="AK37" s="49">
        <v>0</v>
      </c>
      <c r="AL37" s="49">
        <v>0</v>
      </c>
      <c r="AM37" s="49">
        <v>286.28363037109375</v>
      </c>
      <c r="AN37" s="49">
        <v>600.4689281291161</v>
      </c>
      <c r="AO37" s="69">
        <v>0.47676676511764526</v>
      </c>
    </row>
    <row r="38" spans="1:41" ht="12.75" customHeight="1">
      <c r="A38" t="s">
        <v>490</v>
      </c>
      <c r="B38" t="s">
        <v>490</v>
      </c>
      <c r="C38" s="49">
        <v>45</v>
      </c>
      <c r="D38" s="49">
        <v>416.73521097274715</v>
      </c>
      <c r="E38" s="49">
        <v>1092</v>
      </c>
      <c r="F38" s="49">
        <v>0</v>
      </c>
      <c r="G38" s="49">
        <v>0</v>
      </c>
      <c r="H38" s="49" t="s">
        <v>169</v>
      </c>
      <c r="I38" s="49">
        <v>0.21</v>
      </c>
      <c r="J38" s="49">
        <v>0.4009999930858612</v>
      </c>
      <c r="K38" s="49">
        <v>448.5112708094191</v>
      </c>
      <c r="L38" s="60">
        <v>0.09776745841134371</v>
      </c>
      <c r="M38" s="49">
        <v>0.24380912742412433</v>
      </c>
      <c r="N38" s="49"/>
      <c r="O38" s="49"/>
      <c r="P38" s="49">
        <v>1092.0002330129305</v>
      </c>
      <c r="Q38" s="49">
        <v>0</v>
      </c>
      <c r="R38" s="49">
        <v>0</v>
      </c>
      <c r="S38" s="49">
        <v>0</v>
      </c>
      <c r="T38" s="49">
        <v>0</v>
      </c>
      <c r="U38" s="49">
        <v>0</v>
      </c>
      <c r="V38" s="49">
        <v>1092.0002330129305</v>
      </c>
      <c r="W38" s="49">
        <v>0</v>
      </c>
      <c r="X38" s="49">
        <v>1092.0002330129305</v>
      </c>
      <c r="Y38" s="49">
        <v>0</v>
      </c>
      <c r="Z38" s="49">
        <v>0</v>
      </c>
      <c r="AA38" s="49">
        <v>132.00454711914062</v>
      </c>
      <c r="AB38" s="49">
        <v>0</v>
      </c>
      <c r="AC38" s="49">
        <v>132.00455253578588</v>
      </c>
      <c r="AD38" s="49">
        <v>188.7917550844581</v>
      </c>
      <c r="AE38" s="49">
        <v>5.409735639911939</v>
      </c>
      <c r="AF38" s="49">
        <v>27.981529235839844</v>
      </c>
      <c r="AG38" s="49">
        <v>221.93770968166714</v>
      </c>
      <c r="AH38" s="49">
        <v>1092.0002330129305</v>
      </c>
      <c r="AI38" s="69">
        <v>0.20323961751301123</v>
      </c>
      <c r="AJ38" s="49">
        <v>89.93741607666016</v>
      </c>
      <c r="AK38" s="49">
        <v>0</v>
      </c>
      <c r="AL38" s="49">
        <v>0</v>
      </c>
      <c r="AM38" s="49">
        <v>311.8751220703125</v>
      </c>
      <c r="AN38" s="49">
        <v>1092.0002330129305</v>
      </c>
      <c r="AO38" s="69">
        <v>0.28559985756874084</v>
      </c>
    </row>
    <row r="39" spans="3:41" ht="12.75" customHeight="1">
      <c r="C39" s="49"/>
      <c r="D39" s="49"/>
      <c r="E39" s="49"/>
      <c r="F39" s="49"/>
      <c r="G39" s="49"/>
      <c r="H39" s="49"/>
      <c r="I39" s="49"/>
      <c r="J39" s="49"/>
      <c r="K39" s="49"/>
      <c r="L39" s="60"/>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61"/>
    </row>
    <row r="40" spans="3:41" ht="12.75" customHeight="1" thickBot="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thickBot="1">
      <c r="A41" s="62" t="s">
        <v>137</v>
      </c>
      <c r="B41" s="71"/>
      <c r="C41" s="72" t="s">
        <v>106</v>
      </c>
      <c r="D41" s="63"/>
      <c r="E41" s="63"/>
      <c r="F41" s="63"/>
      <c r="G41" s="63"/>
      <c r="H41" s="63"/>
      <c r="I41" s="63"/>
      <c r="J41" s="64"/>
      <c r="K41" s="72" t="s">
        <v>50</v>
      </c>
      <c r="L41" s="63"/>
      <c r="M41" s="64"/>
      <c r="N41" s="72" t="s">
        <v>107</v>
      </c>
      <c r="O41" s="63"/>
      <c r="P41" s="63"/>
      <c r="Q41" s="63"/>
      <c r="R41" s="73" t="s">
        <v>108</v>
      </c>
      <c r="S41" s="72" t="s">
        <v>84</v>
      </c>
      <c r="T41" s="63"/>
      <c r="U41" s="63"/>
      <c r="V41" s="63"/>
      <c r="W41" s="63"/>
      <c r="X41" s="64"/>
      <c r="Y41" s="72" t="s">
        <v>85</v>
      </c>
      <c r="Z41" s="63"/>
      <c r="AA41" s="63"/>
      <c r="AB41" s="63"/>
      <c r="AC41" s="63"/>
      <c r="AD41" s="64"/>
      <c r="AE41" s="49"/>
      <c r="AF41" s="49"/>
      <c r="AG41" s="49"/>
      <c r="AH41" s="49"/>
      <c r="AI41" s="49"/>
      <c r="AJ41" s="49"/>
      <c r="AK41" s="49"/>
      <c r="AL41" s="49"/>
      <c r="AM41" s="49"/>
      <c r="AN41" s="49"/>
      <c r="AO41" s="49"/>
    </row>
    <row r="42" spans="1:41" ht="51">
      <c r="A42" s="57"/>
      <c r="B42" s="58" t="s">
        <v>56</v>
      </c>
      <c r="C42" s="59" t="s">
        <v>109</v>
      </c>
      <c r="D42" s="59" t="s">
        <v>87</v>
      </c>
      <c r="E42" s="59" t="s">
        <v>88</v>
      </c>
      <c r="F42" s="59" t="s">
        <v>89</v>
      </c>
      <c r="G42" s="59" t="s">
        <v>90</v>
      </c>
      <c r="H42" s="59" t="s">
        <v>91</v>
      </c>
      <c r="I42" s="59" t="s">
        <v>110</v>
      </c>
      <c r="J42" s="59" t="s">
        <v>111</v>
      </c>
      <c r="K42" s="59" t="s">
        <v>94</v>
      </c>
      <c r="L42" s="59" t="s">
        <v>95</v>
      </c>
      <c r="M42" s="59" t="s">
        <v>96</v>
      </c>
      <c r="N42" s="59" t="s">
        <v>51</v>
      </c>
      <c r="O42" s="59" t="s">
        <v>112</v>
      </c>
      <c r="P42" s="59" t="s">
        <v>113</v>
      </c>
      <c r="Q42" s="59" t="s">
        <v>114</v>
      </c>
      <c r="R42" s="59" t="s">
        <v>115</v>
      </c>
      <c r="S42" s="59" t="s">
        <v>97</v>
      </c>
      <c r="T42" s="59" t="s">
        <v>98</v>
      </c>
      <c r="U42" s="59" t="s">
        <v>61</v>
      </c>
      <c r="V42" s="59" t="s">
        <v>99</v>
      </c>
      <c r="W42" s="59" t="s">
        <v>100</v>
      </c>
      <c r="X42" s="59" t="s">
        <v>101</v>
      </c>
      <c r="Y42" s="59" t="s">
        <v>102</v>
      </c>
      <c r="Z42" s="59" t="s">
        <v>59</v>
      </c>
      <c r="AA42" s="59" t="s">
        <v>60</v>
      </c>
      <c r="AB42" s="59" t="s">
        <v>103</v>
      </c>
      <c r="AC42" s="59" t="s">
        <v>104</v>
      </c>
      <c r="AD42" s="59" t="s">
        <v>105</v>
      </c>
      <c r="AE42" s="49"/>
      <c r="AF42" s="49"/>
      <c r="AG42" s="49"/>
      <c r="AH42" s="49"/>
      <c r="AI42" s="49"/>
      <c r="AJ42" s="49"/>
      <c r="AK42" s="49"/>
      <c r="AL42" s="49"/>
      <c r="AM42" s="49"/>
      <c r="AN42" s="49"/>
      <c r="AO42" s="49"/>
    </row>
    <row r="43" spans="2:41" ht="12.75" customHeight="1">
      <c r="B43" t="s">
        <v>184</v>
      </c>
      <c r="C43" s="49">
        <v>45</v>
      </c>
      <c r="D43" s="49">
        <v>6759.991773884547</v>
      </c>
      <c r="E43" s="49">
        <v>299.75</v>
      </c>
      <c r="F43" s="49">
        <v>0</v>
      </c>
      <c r="G43" s="49">
        <v>0</v>
      </c>
      <c r="H43" s="49"/>
      <c r="I43" s="49">
        <v>0.21</v>
      </c>
      <c r="J43" s="49">
        <v>0.4009999930858612</v>
      </c>
      <c r="K43" s="49">
        <v>7275.441146643244</v>
      </c>
      <c r="L43" s="49">
        <v>1.5859164217767618</v>
      </c>
      <c r="M43" s="49">
        <v>3.9549038410186768</v>
      </c>
      <c r="N43" s="49">
        <v>299.7500639611959</v>
      </c>
      <c r="O43" s="49">
        <v>0</v>
      </c>
      <c r="P43" s="49">
        <v>0</v>
      </c>
      <c r="Q43" s="49">
        <v>299.75006103515625</v>
      </c>
      <c r="R43" s="49">
        <v>2.2337753273248104</v>
      </c>
      <c r="S43" s="49">
        <v>3062.4499148252303</v>
      </c>
      <c r="T43" s="49">
        <v>87.75300598144531</v>
      </c>
      <c r="U43" s="49">
        <v>453.8971252441406</v>
      </c>
      <c r="V43" s="49">
        <v>3600.1207938594716</v>
      </c>
      <c r="W43" s="49">
        <v>299.7500639611959</v>
      </c>
      <c r="X43" s="48">
        <v>12.010408759497462</v>
      </c>
      <c r="Y43" s="60">
        <v>1458.9029541015625</v>
      </c>
      <c r="Z43" s="60">
        <v>0</v>
      </c>
      <c r="AA43" s="60">
        <v>0</v>
      </c>
      <c r="AB43" s="60">
        <v>5059.02392578125</v>
      </c>
      <c r="AC43" s="60">
        <v>299.75006103515625</v>
      </c>
      <c r="AD43" s="48">
        <v>16.877473831176758</v>
      </c>
      <c r="AE43" s="60"/>
      <c r="AF43" s="60"/>
      <c r="AG43" s="60"/>
      <c r="AH43" s="60"/>
      <c r="AI43" s="60"/>
      <c r="AJ43" s="60"/>
      <c r="AK43" s="60"/>
      <c r="AL43" s="49"/>
      <c r="AM43" s="49"/>
      <c r="AN43" s="49"/>
      <c r="AO43" s="49"/>
    </row>
    <row r="44" spans="2:41" ht="12.75" customHeight="1">
      <c r="B44" t="s">
        <v>172</v>
      </c>
      <c r="C44" s="49">
        <v>45</v>
      </c>
      <c r="D44" s="49">
        <v>2902.210835790953</v>
      </c>
      <c r="E44" s="49">
        <v>627.53</v>
      </c>
      <c r="F44" s="49">
        <v>0</v>
      </c>
      <c r="G44" s="49">
        <v>0</v>
      </c>
      <c r="H44" s="49"/>
      <c r="I44" s="49">
        <v>0.21</v>
      </c>
      <c r="J44" s="49">
        <v>0.4009999930858612</v>
      </c>
      <c r="K44" s="49">
        <v>3123.5044120200128</v>
      </c>
      <c r="L44" s="49">
        <v>0.6808682581124604</v>
      </c>
      <c r="M44" s="49">
        <v>1.6979258060455322</v>
      </c>
      <c r="N44" s="49">
        <v>627.5307339036118</v>
      </c>
      <c r="O44" s="49">
        <v>0</v>
      </c>
      <c r="P44" s="49">
        <v>0</v>
      </c>
      <c r="Q44" s="49">
        <v>627.53076171875</v>
      </c>
      <c r="R44" s="49">
        <v>10.8926218630119</v>
      </c>
      <c r="S44" s="49">
        <v>1314.7760565639783</v>
      </c>
      <c r="T44" s="49">
        <v>37.67426681518555</v>
      </c>
      <c r="U44" s="49">
        <v>194.86785888671875</v>
      </c>
      <c r="V44" s="49">
        <v>1545.6098018211183</v>
      </c>
      <c r="W44" s="49">
        <v>627.5307339036118</v>
      </c>
      <c r="X44" s="48">
        <v>2.4630025563951463</v>
      </c>
      <c r="Y44" s="60">
        <v>626.3386840820312</v>
      </c>
      <c r="Z44" s="60">
        <v>0</v>
      </c>
      <c r="AA44" s="60">
        <v>0</v>
      </c>
      <c r="AB44" s="60">
        <v>2171.948486328125</v>
      </c>
      <c r="AC44" s="60">
        <v>627.53076171875</v>
      </c>
      <c r="AD44" s="48">
        <v>3.4611027240753174</v>
      </c>
      <c r="AE44" s="60"/>
      <c r="AF44" s="60"/>
      <c r="AG44" s="60"/>
      <c r="AH44" s="60"/>
      <c r="AI44" s="60"/>
      <c r="AJ44" s="60"/>
      <c r="AK44" s="60"/>
      <c r="AL44" s="49"/>
      <c r="AM44" s="49"/>
      <c r="AN44" s="49"/>
      <c r="AO44" s="49"/>
    </row>
    <row r="45" spans="2:41" ht="12.75" customHeight="1">
      <c r="B45" t="s">
        <v>173</v>
      </c>
      <c r="C45" s="49">
        <v>45</v>
      </c>
      <c r="D45" s="49">
        <v>1427.3735477830742</v>
      </c>
      <c r="E45" s="49">
        <v>436.8</v>
      </c>
      <c r="F45" s="49">
        <v>0</v>
      </c>
      <c r="G45" s="49">
        <v>0</v>
      </c>
      <c r="H45" s="49"/>
      <c r="I45" s="49">
        <v>0.21</v>
      </c>
      <c r="J45" s="49">
        <v>0.4009999930858612</v>
      </c>
      <c r="K45" s="49">
        <v>1536.2107808015335</v>
      </c>
      <c r="L45" s="49">
        <v>0.3348665538594479</v>
      </c>
      <c r="M45" s="49">
        <v>0.8350787162780762</v>
      </c>
      <c r="N45" s="49">
        <v>436.8000932051722</v>
      </c>
      <c r="O45" s="49">
        <v>0</v>
      </c>
      <c r="P45" s="49">
        <v>0</v>
      </c>
      <c r="Q45" s="49">
        <v>436.8000793457031</v>
      </c>
      <c r="R45" s="49">
        <v>15.41599119709627</v>
      </c>
      <c r="S45" s="49">
        <v>646.6368815298354</v>
      </c>
      <c r="T45" s="49">
        <v>18.529064178466797</v>
      </c>
      <c r="U45" s="49">
        <v>95.84046173095703</v>
      </c>
      <c r="V45" s="49">
        <v>760.1661872946614</v>
      </c>
      <c r="W45" s="49">
        <v>436.8000932051722</v>
      </c>
      <c r="X45" s="48">
        <v>1.7403068339951084</v>
      </c>
      <c r="Y45" s="60">
        <v>308.047607421875</v>
      </c>
      <c r="Z45" s="60">
        <v>0</v>
      </c>
      <c r="AA45" s="60">
        <v>0</v>
      </c>
      <c r="AB45" s="60">
        <v>1068.2138671875</v>
      </c>
      <c r="AC45" s="60">
        <v>436.8000793457031</v>
      </c>
      <c r="AD45" s="48">
        <v>2.4455440044403076</v>
      </c>
      <c r="AE45" s="60"/>
      <c r="AF45" s="60"/>
      <c r="AG45" s="60"/>
      <c r="AH45" s="60"/>
      <c r="AI45" s="60"/>
      <c r="AJ45" s="60"/>
      <c r="AK45" s="60"/>
      <c r="AL45" s="49"/>
      <c r="AM45" s="49"/>
      <c r="AN45" s="49"/>
      <c r="AO45" s="49"/>
    </row>
    <row r="46" spans="2:41" ht="12.75" customHeight="1">
      <c r="B46" t="s">
        <v>171</v>
      </c>
      <c r="C46" s="49">
        <v>45</v>
      </c>
      <c r="D46" s="49">
        <v>3500.9703732569724</v>
      </c>
      <c r="E46" s="49">
        <v>1228.29</v>
      </c>
      <c r="F46" s="49">
        <v>0</v>
      </c>
      <c r="G46" s="49">
        <v>0</v>
      </c>
      <c r="H46" s="49"/>
      <c r="I46" s="49">
        <v>0.21</v>
      </c>
      <c r="J46" s="49">
        <v>0.4009999632835388</v>
      </c>
      <c r="K46" s="49">
        <v>3767.9193642178166</v>
      </c>
      <c r="L46" s="49">
        <v>0.8213392253747702</v>
      </c>
      <c r="M46" s="49">
        <v>2.048227548599243</v>
      </c>
      <c r="N46" s="49">
        <v>1228.2885620943737</v>
      </c>
      <c r="O46" s="49">
        <v>0</v>
      </c>
      <c r="P46" s="49">
        <v>0</v>
      </c>
      <c r="Q46" s="49">
        <v>1228.28857421875</v>
      </c>
      <c r="R46" s="49">
        <v>17.674143190593373</v>
      </c>
      <c r="S46" s="49">
        <v>1586.0295071373228</v>
      </c>
      <c r="T46" s="49">
        <v>45.446903228759766</v>
      </c>
      <c r="U46" s="49">
        <v>235.0713348388672</v>
      </c>
      <c r="V46" s="49">
        <v>1864.4869051380879</v>
      </c>
      <c r="W46" s="49">
        <v>1228.2885620943737</v>
      </c>
      <c r="X46" s="48">
        <v>1.5179551146832488</v>
      </c>
      <c r="Y46" s="60">
        <v>755.5594482421875</v>
      </c>
      <c r="Z46" s="60">
        <v>0</v>
      </c>
      <c r="AA46" s="60">
        <v>0</v>
      </c>
      <c r="AB46" s="60">
        <v>2620.04638671875</v>
      </c>
      <c r="AC46" s="60">
        <v>1228.28857421875</v>
      </c>
      <c r="AD46" s="48">
        <v>2.133086919784546</v>
      </c>
      <c r="AE46" s="60"/>
      <c r="AF46" s="60"/>
      <c r="AG46" s="60"/>
      <c r="AH46" s="60"/>
      <c r="AI46" s="60"/>
      <c r="AJ46" s="60"/>
      <c r="AK46" s="60"/>
      <c r="AL46" s="49"/>
      <c r="AM46" s="49"/>
      <c r="AN46" s="49"/>
      <c r="AO46" s="49"/>
    </row>
    <row r="47" spans="2:41" ht="12.75" customHeight="1">
      <c r="B47" t="s">
        <v>174</v>
      </c>
      <c r="C47" s="49">
        <v>45</v>
      </c>
      <c r="D47" s="49">
        <v>385.4580933053803</v>
      </c>
      <c r="E47" s="49">
        <v>144.6</v>
      </c>
      <c r="F47" s="49">
        <v>0</v>
      </c>
      <c r="G47" s="49">
        <v>0</v>
      </c>
      <c r="H47" s="49"/>
      <c r="I47" s="49">
        <v>0.21</v>
      </c>
      <c r="J47" s="49">
        <v>0.4009999930858612</v>
      </c>
      <c r="K47" s="49">
        <v>414.84927291991556</v>
      </c>
      <c r="L47" s="49">
        <v>0.09042974319012866</v>
      </c>
      <c r="M47" s="49">
        <v>0.2255105823278427</v>
      </c>
      <c r="N47" s="49">
        <v>144.59893085477418</v>
      </c>
      <c r="O47" s="49">
        <v>0</v>
      </c>
      <c r="P47" s="49">
        <v>0</v>
      </c>
      <c r="Q47" s="49">
        <v>144.59893798828125</v>
      </c>
      <c r="R47" s="49">
        <v>18.897933127871635</v>
      </c>
      <c r="S47" s="49">
        <v>174.62241737809512</v>
      </c>
      <c r="T47" s="49">
        <v>5.003720283508301</v>
      </c>
      <c r="U47" s="49">
        <v>25.881439208984375</v>
      </c>
      <c r="V47" s="49">
        <v>205.28067769649496</v>
      </c>
      <c r="W47" s="49">
        <v>144.59893085477418</v>
      </c>
      <c r="X47" s="48">
        <v>1.4196555706394924</v>
      </c>
      <c r="Y47" s="60">
        <v>83.18736267089844</v>
      </c>
      <c r="Z47" s="60">
        <v>0</v>
      </c>
      <c r="AA47" s="60">
        <v>0</v>
      </c>
      <c r="AB47" s="60">
        <v>288.4680480957031</v>
      </c>
      <c r="AC47" s="60">
        <v>144.59893798828125</v>
      </c>
      <c r="AD47" s="48">
        <v>1.9949527978897095</v>
      </c>
      <c r="AE47" s="60"/>
      <c r="AF47" s="60"/>
      <c r="AG47" s="60"/>
      <c r="AH47" s="60"/>
      <c r="AI47" s="60"/>
      <c r="AJ47" s="60"/>
      <c r="AK47" s="60"/>
      <c r="AL47" s="49"/>
      <c r="AM47" s="49"/>
      <c r="AN47" s="49"/>
      <c r="AO47" s="49"/>
    </row>
    <row r="48" spans="1:41" ht="12.75" customHeight="1">
      <c r="A48"/>
      <c r="B48" t="s">
        <v>177</v>
      </c>
      <c r="C48" s="49">
        <v>45</v>
      </c>
      <c r="D48" s="49">
        <v>576.7169296689572</v>
      </c>
      <c r="E48" s="49">
        <v>240.51</v>
      </c>
      <c r="F48" s="49">
        <v>0</v>
      </c>
      <c r="G48" s="49">
        <v>0</v>
      </c>
      <c r="H48" s="49"/>
      <c r="I48" s="49">
        <v>0.21</v>
      </c>
      <c r="J48" s="49">
        <v>0.4009999930858612</v>
      </c>
      <c r="K48" s="49">
        <v>620.6915955562151</v>
      </c>
      <c r="L48" s="49">
        <v>0.13529969859017965</v>
      </c>
      <c r="M48" s="49">
        <v>0.3374057412147522</v>
      </c>
      <c r="N48" s="49">
        <v>240.50525131943357</v>
      </c>
      <c r="O48" s="49">
        <v>0</v>
      </c>
      <c r="P48" s="49">
        <v>0</v>
      </c>
      <c r="Q48" s="49">
        <v>240.5052490234375</v>
      </c>
      <c r="R48" s="49">
        <v>21.00817059854173</v>
      </c>
      <c r="S48" s="49">
        <v>261.2675830414595</v>
      </c>
      <c r="T48" s="49">
        <v>7.486495018005371</v>
      </c>
      <c r="U48" s="49">
        <v>38.72343826293945</v>
      </c>
      <c r="V48" s="49">
        <v>307.13803326664976</v>
      </c>
      <c r="W48" s="49">
        <v>240.50525131943357</v>
      </c>
      <c r="X48" s="48">
        <v>1.2770533349341135</v>
      </c>
      <c r="Y48" s="60">
        <v>124.46373748779297</v>
      </c>
      <c r="Z48" s="60">
        <v>0</v>
      </c>
      <c r="AA48" s="60">
        <v>0</v>
      </c>
      <c r="AB48" s="60">
        <v>431.6017761230469</v>
      </c>
      <c r="AC48" s="60">
        <v>240.5052490234375</v>
      </c>
      <c r="AD48" s="48">
        <v>1.794562816619873</v>
      </c>
      <c r="AE48" s="60"/>
      <c r="AF48" s="60"/>
      <c r="AG48" s="60"/>
      <c r="AH48" s="60"/>
      <c r="AI48" s="60"/>
      <c r="AJ48" s="60"/>
      <c r="AK48" s="60"/>
      <c r="AL48" s="49"/>
      <c r="AM48" s="49"/>
      <c r="AN48" s="49"/>
      <c r="AO48" s="49"/>
    </row>
    <row r="49" spans="1:41" ht="12.75" customHeight="1">
      <c r="A49"/>
      <c r="B49" t="s">
        <v>176</v>
      </c>
      <c r="C49" s="49">
        <v>45</v>
      </c>
      <c r="D49" s="49">
        <v>327.9525883390379</v>
      </c>
      <c r="E49" s="49">
        <v>182</v>
      </c>
      <c r="F49" s="49">
        <v>0</v>
      </c>
      <c r="G49" s="49">
        <v>0</v>
      </c>
      <c r="H49" s="49"/>
      <c r="I49" s="49">
        <v>0.21</v>
      </c>
      <c r="J49" s="49">
        <v>0.4009999930858612</v>
      </c>
      <c r="K49" s="49">
        <v>352.95897319988956</v>
      </c>
      <c r="L49" s="49">
        <v>0.07693876158553403</v>
      </c>
      <c r="M49" s="49">
        <v>0.19186723232269287</v>
      </c>
      <c r="N49" s="49">
        <v>182.0000388354884</v>
      </c>
      <c r="O49" s="49">
        <v>0</v>
      </c>
      <c r="P49" s="49">
        <v>0</v>
      </c>
      <c r="Q49" s="49">
        <v>182.0000457763672</v>
      </c>
      <c r="R49" s="49">
        <v>27.956758302056304</v>
      </c>
      <c r="S49" s="49">
        <v>148.5709465070057</v>
      </c>
      <c r="T49" s="49">
        <v>4.257227897644043</v>
      </c>
      <c r="U49" s="49">
        <v>22.020252227783203</v>
      </c>
      <c r="V49" s="49">
        <v>174.65537814643827</v>
      </c>
      <c r="W49" s="49">
        <v>182.0000388354884</v>
      </c>
      <c r="X49" s="69">
        <v>0.9596447300998159</v>
      </c>
      <c r="Y49" s="60">
        <v>70.77685546875</v>
      </c>
      <c r="Z49" s="60">
        <v>0</v>
      </c>
      <c r="AA49" s="60">
        <v>0</v>
      </c>
      <c r="AB49" s="60">
        <v>245.43223571777344</v>
      </c>
      <c r="AC49" s="60">
        <v>182.0000457763672</v>
      </c>
      <c r="AD49" s="48">
        <v>1.3485283851623535</v>
      </c>
      <c r="AE49" s="60"/>
      <c r="AF49" s="60"/>
      <c r="AG49" s="60"/>
      <c r="AH49" s="60"/>
      <c r="AI49" s="60"/>
      <c r="AJ49" s="60"/>
      <c r="AK49" s="60"/>
      <c r="AL49" s="49"/>
      <c r="AM49" s="49"/>
      <c r="AN49" s="49"/>
      <c r="AO49" s="49"/>
    </row>
    <row r="50" spans="1:41" ht="12.75" customHeight="1">
      <c r="A50"/>
      <c r="B50" t="s">
        <v>488</v>
      </c>
      <c r="C50" s="49">
        <v>45</v>
      </c>
      <c r="D50" s="49">
        <v>8696.810842501114</v>
      </c>
      <c r="E50" s="49">
        <v>5043.89</v>
      </c>
      <c r="F50" s="49">
        <v>0</v>
      </c>
      <c r="G50" s="49">
        <v>0</v>
      </c>
      <c r="H50" s="49"/>
      <c r="I50" s="49">
        <v>0.21</v>
      </c>
      <c r="J50" s="49">
        <v>0.4009999930858612</v>
      </c>
      <c r="K50" s="49">
        <v>9359.942669241824</v>
      </c>
      <c r="L50" s="49">
        <v>2.0403005792835556</v>
      </c>
      <c r="M50" s="49">
        <v>5.08803129196167</v>
      </c>
      <c r="N50" s="49">
        <v>5043.895976275396</v>
      </c>
      <c r="O50" s="49">
        <v>0</v>
      </c>
      <c r="P50" s="49">
        <v>0</v>
      </c>
      <c r="Q50" s="49">
        <v>5043.89599609375</v>
      </c>
      <c r="R50" s="49">
        <v>29.216788314892966</v>
      </c>
      <c r="S50" s="49">
        <v>3939.8787032197815</v>
      </c>
      <c r="T50" s="49">
        <v>112.89530181884766</v>
      </c>
      <c r="U50" s="49">
        <v>583.944091796875</v>
      </c>
      <c r="V50" s="49">
        <v>4631.598738338567</v>
      </c>
      <c r="W50" s="49">
        <v>5043.895976275396</v>
      </c>
      <c r="X50" s="69">
        <v>0.9182581798125654</v>
      </c>
      <c r="Y50" s="60">
        <v>1876.8963623046875</v>
      </c>
      <c r="Z50" s="60">
        <v>0</v>
      </c>
      <c r="AA50" s="60">
        <v>0</v>
      </c>
      <c r="AB50" s="60">
        <v>6508.4951171875</v>
      </c>
      <c r="AC50" s="60">
        <v>5043.89599609375</v>
      </c>
      <c r="AD50" s="48">
        <v>1.2903705835342407</v>
      </c>
      <c r="AE50" s="60"/>
      <c r="AF50" s="60"/>
      <c r="AG50" s="60"/>
      <c r="AH50" s="60"/>
      <c r="AI50" s="60"/>
      <c r="AJ50" s="60"/>
      <c r="AK50" s="60"/>
      <c r="AL50" s="49"/>
      <c r="AM50" s="49"/>
      <c r="AN50" s="49"/>
      <c r="AO50" s="49"/>
    </row>
    <row r="51" spans="1:41" ht="12.75" customHeight="1">
      <c r="A51"/>
      <c r="B51" t="s">
        <v>185</v>
      </c>
      <c r="C51" s="49">
        <v>45</v>
      </c>
      <c r="D51" s="49">
        <v>658.2105564312242</v>
      </c>
      <c r="E51" s="49">
        <v>406.08</v>
      </c>
      <c r="F51" s="49">
        <v>0</v>
      </c>
      <c r="G51" s="49">
        <v>0</v>
      </c>
      <c r="H51" s="49"/>
      <c r="I51" s="49">
        <v>0.21</v>
      </c>
      <c r="J51" s="49">
        <v>0.4009999632835388</v>
      </c>
      <c r="K51" s="49">
        <v>708.399111359105</v>
      </c>
      <c r="L51" s="49">
        <v>0.1544183728837961</v>
      </c>
      <c r="M51" s="49">
        <v>0.38508322834968567</v>
      </c>
      <c r="N51" s="49">
        <v>406.08008665008316</v>
      </c>
      <c r="O51" s="49">
        <v>0</v>
      </c>
      <c r="P51" s="49">
        <v>0</v>
      </c>
      <c r="Q51" s="49">
        <v>406.080078125</v>
      </c>
      <c r="R51" s="49">
        <v>31.079440996058572</v>
      </c>
      <c r="S51" s="49">
        <v>298.18628925957137</v>
      </c>
      <c r="T51" s="49">
        <v>8.54438304901123</v>
      </c>
      <c r="U51" s="49">
        <v>44.1953010559082</v>
      </c>
      <c r="V51" s="49">
        <v>350.53851874689224</v>
      </c>
      <c r="W51" s="49">
        <v>406.08008665008316</v>
      </c>
      <c r="X51" s="69">
        <v>0.8632250885253313</v>
      </c>
      <c r="Y51" s="60">
        <v>142.05125427246094</v>
      </c>
      <c r="Z51" s="60">
        <v>0</v>
      </c>
      <c r="AA51" s="60">
        <v>0</v>
      </c>
      <c r="AB51" s="60">
        <v>492.58978271484375</v>
      </c>
      <c r="AC51" s="60">
        <v>406.080078125</v>
      </c>
      <c r="AD51" s="48">
        <v>1.213036060333252</v>
      </c>
      <c r="AE51" s="60"/>
      <c r="AF51" s="60"/>
      <c r="AG51" s="60"/>
      <c r="AH51" s="60"/>
      <c r="AI51" s="60"/>
      <c r="AJ51" s="60"/>
      <c r="AK51" s="60"/>
      <c r="AL51" s="49"/>
      <c r="AM51" s="49"/>
      <c r="AN51" s="49"/>
      <c r="AO51" s="49"/>
    </row>
    <row r="52" spans="1:41" ht="12.75" customHeight="1">
      <c r="A52"/>
      <c r="B52" t="s">
        <v>179</v>
      </c>
      <c r="C52" s="49">
        <v>45</v>
      </c>
      <c r="D52" s="49">
        <v>101.49531555820795</v>
      </c>
      <c r="E52" s="49">
        <v>94.64</v>
      </c>
      <c r="F52" s="49">
        <v>0</v>
      </c>
      <c r="G52" s="49">
        <v>0</v>
      </c>
      <c r="H52" s="49"/>
      <c r="I52" s="49">
        <v>0.21</v>
      </c>
      <c r="J52" s="49">
        <v>0.4009999632835388</v>
      </c>
      <c r="K52" s="49">
        <v>109.2343333695213</v>
      </c>
      <c r="L52" s="49">
        <v>0.023811136619872095</v>
      </c>
      <c r="M52" s="49">
        <v>0.059379395097494125</v>
      </c>
      <c r="N52" s="49">
        <v>94.64002019445397</v>
      </c>
      <c r="O52" s="49">
        <v>0</v>
      </c>
      <c r="P52" s="49">
        <v>0</v>
      </c>
      <c r="Q52" s="49">
        <v>94.64002227783203</v>
      </c>
      <c r="R52" s="49">
        <v>46.97374824492912</v>
      </c>
      <c r="S52" s="49">
        <v>45.97998501820403</v>
      </c>
      <c r="T52" s="49">
        <v>1.31753408908844</v>
      </c>
      <c r="U52" s="49">
        <v>6.814864158630371</v>
      </c>
      <c r="V52" s="49">
        <v>54.05263821871898</v>
      </c>
      <c r="W52" s="49">
        <v>94.64002019445397</v>
      </c>
      <c r="X52" s="69">
        <v>0.5711393352163141</v>
      </c>
      <c r="Y52" s="60">
        <v>21.904136657714844</v>
      </c>
      <c r="Z52" s="60">
        <v>0</v>
      </c>
      <c r="AA52" s="60">
        <v>0</v>
      </c>
      <c r="AB52" s="60">
        <v>75.95677185058594</v>
      </c>
      <c r="AC52" s="60">
        <v>94.64002227783203</v>
      </c>
      <c r="AD52" s="69">
        <v>0.8025861382484436</v>
      </c>
      <c r="AE52" s="60"/>
      <c r="AF52" s="60"/>
      <c r="AG52" s="60"/>
      <c r="AH52" s="60"/>
      <c r="AI52" s="60"/>
      <c r="AJ52" s="60"/>
      <c r="AK52" s="60"/>
      <c r="AL52" s="49"/>
      <c r="AM52" s="49"/>
      <c r="AN52" s="49"/>
      <c r="AO52" s="49"/>
    </row>
    <row r="53" spans="1:41" ht="12.75" customHeight="1">
      <c r="A53"/>
      <c r="B53" t="s">
        <v>178</v>
      </c>
      <c r="C53" s="49">
        <v>45</v>
      </c>
      <c r="D53" s="49">
        <v>126.86914444775539</v>
      </c>
      <c r="E53" s="49">
        <v>132.47</v>
      </c>
      <c r="F53" s="49">
        <v>0</v>
      </c>
      <c r="G53" s="49">
        <v>0</v>
      </c>
      <c r="H53" s="49"/>
      <c r="I53" s="49">
        <v>0.21</v>
      </c>
      <c r="J53" s="49">
        <v>0.4009999930858612</v>
      </c>
      <c r="K53" s="49">
        <v>136.54291671189674</v>
      </c>
      <c r="L53" s="49">
        <v>0.02976392077483905</v>
      </c>
      <c r="M53" s="49">
        <v>0.07422424107789993</v>
      </c>
      <c r="N53" s="49">
        <v>132.4730282673278</v>
      </c>
      <c r="O53" s="49">
        <v>0</v>
      </c>
      <c r="P53" s="49">
        <v>0</v>
      </c>
      <c r="Q53" s="49">
        <v>132.4730224609375</v>
      </c>
      <c r="R53" s="49">
        <v>52.60145853049179</v>
      </c>
      <c r="S53" s="49">
        <v>57.4749812727527</v>
      </c>
      <c r="T53" s="49">
        <v>1.6469175815582275</v>
      </c>
      <c r="U53" s="49">
        <v>8.51858139038086</v>
      </c>
      <c r="V53" s="49">
        <v>67.56579896548922</v>
      </c>
      <c r="W53" s="49">
        <v>132.4730282673278</v>
      </c>
      <c r="X53" s="69">
        <v>0.5100343809544601</v>
      </c>
      <c r="Y53" s="60">
        <v>27.38017463684082</v>
      </c>
      <c r="Z53" s="60">
        <v>0</v>
      </c>
      <c r="AA53" s="60">
        <v>0</v>
      </c>
      <c r="AB53" s="60">
        <v>94.94597625732422</v>
      </c>
      <c r="AC53" s="60">
        <v>132.4730224609375</v>
      </c>
      <c r="AD53" s="69">
        <v>0.7167193293571472</v>
      </c>
      <c r="AE53" s="60"/>
      <c r="AF53" s="60"/>
      <c r="AG53" s="60"/>
      <c r="AH53" s="60"/>
      <c r="AI53" s="60"/>
      <c r="AJ53" s="60"/>
      <c r="AK53" s="60"/>
      <c r="AL53" s="49"/>
      <c r="AM53" s="49"/>
      <c r="AN53" s="49"/>
      <c r="AO53" s="49"/>
    </row>
    <row r="54" spans="1:41" ht="12.75" customHeight="1">
      <c r="A54"/>
      <c r="B54" t="s">
        <v>500</v>
      </c>
      <c r="C54" s="49">
        <v>45</v>
      </c>
      <c r="D54" s="49">
        <v>1033.6887914736908</v>
      </c>
      <c r="E54" s="49">
        <v>1512</v>
      </c>
      <c r="F54" s="49">
        <v>0</v>
      </c>
      <c r="G54" s="49">
        <v>0</v>
      </c>
      <c r="H54" s="49"/>
      <c r="I54" s="49">
        <v>0.21</v>
      </c>
      <c r="J54" s="49">
        <v>0.4009999930858612</v>
      </c>
      <c r="K54" s="49">
        <v>1112.5075618235596</v>
      </c>
      <c r="L54" s="49">
        <v>0.242506808327471</v>
      </c>
      <c r="M54" s="49">
        <v>0.604755163192749</v>
      </c>
      <c r="N54" s="49">
        <v>1512.0003226332883</v>
      </c>
      <c r="O54" s="49">
        <v>0</v>
      </c>
      <c r="P54" s="49">
        <v>0</v>
      </c>
      <c r="Q54" s="49">
        <v>1512.0003662109375</v>
      </c>
      <c r="R54" s="49">
        <v>73.68659126932766</v>
      </c>
      <c r="S54" s="49">
        <v>468.287574495864</v>
      </c>
      <c r="T54" s="49">
        <v>13.41855239868164</v>
      </c>
      <c r="U54" s="49">
        <v>69.40664672851562</v>
      </c>
      <c r="V54" s="49">
        <v>550.5042945512503</v>
      </c>
      <c r="W54" s="49">
        <v>1512.0003226332883</v>
      </c>
      <c r="X54" s="69">
        <v>0.36409006420878015</v>
      </c>
      <c r="Y54" s="60">
        <v>223.08485412597656</v>
      </c>
      <c r="Z54" s="60">
        <v>0</v>
      </c>
      <c r="AA54" s="60">
        <v>0</v>
      </c>
      <c r="AB54" s="60">
        <v>773.5891723632812</v>
      </c>
      <c r="AC54" s="60">
        <v>1512.0003662109375</v>
      </c>
      <c r="AD54" s="69">
        <v>0.5116329193115234</v>
      </c>
      <c r="AE54" s="60"/>
      <c r="AF54" s="60"/>
      <c r="AG54" s="60"/>
      <c r="AH54" s="60"/>
      <c r="AI54" s="60"/>
      <c r="AJ54" s="60"/>
      <c r="AK54" s="60"/>
      <c r="AL54" s="49"/>
      <c r="AM54" s="49"/>
      <c r="AN54" s="49"/>
      <c r="AO54" s="49"/>
    </row>
    <row r="55" spans="1:41" ht="12.75" customHeight="1">
      <c r="A55"/>
      <c r="B55" t="s">
        <v>180</v>
      </c>
      <c r="C55" s="49">
        <v>45</v>
      </c>
      <c r="D55" s="49">
        <v>382.5392323469714</v>
      </c>
      <c r="E55" s="49">
        <v>600.47</v>
      </c>
      <c r="F55" s="49">
        <v>0</v>
      </c>
      <c r="G55" s="49">
        <v>0</v>
      </c>
      <c r="H55" s="49"/>
      <c r="I55" s="49">
        <v>0.21</v>
      </c>
      <c r="J55" s="49">
        <v>0.4009999930858612</v>
      </c>
      <c r="K55" s="49">
        <v>411.7078488134279</v>
      </c>
      <c r="L55" s="49">
        <v>0.0897449687581971</v>
      </c>
      <c r="M55" s="49">
        <v>0.22380292415618896</v>
      </c>
      <c r="N55" s="49">
        <v>600.4689281291161</v>
      </c>
      <c r="O55" s="49">
        <v>0</v>
      </c>
      <c r="P55" s="49">
        <v>0</v>
      </c>
      <c r="Q55" s="49">
        <v>600.4689331054688</v>
      </c>
      <c r="R55" s="49">
        <v>79.07531651215328</v>
      </c>
      <c r="S55" s="49">
        <v>173.30009838830028</v>
      </c>
      <c r="T55" s="49">
        <v>4.965829849243164</v>
      </c>
      <c r="U55" s="49">
        <v>25.68545150756836</v>
      </c>
      <c r="V55" s="49">
        <v>203.72619878090035</v>
      </c>
      <c r="W55" s="49">
        <v>600.4689281291161</v>
      </c>
      <c r="X55" s="69">
        <v>0.33927850257906106</v>
      </c>
      <c r="Y55" s="60">
        <v>82.55741882324219</v>
      </c>
      <c r="Z55" s="60">
        <v>0</v>
      </c>
      <c r="AA55" s="60">
        <v>0</v>
      </c>
      <c r="AB55" s="60">
        <v>286.28363037109375</v>
      </c>
      <c r="AC55" s="60">
        <v>600.4689331054688</v>
      </c>
      <c r="AD55" s="69">
        <v>0.47676676511764526</v>
      </c>
      <c r="AE55" s="60"/>
      <c r="AF55" s="60"/>
      <c r="AG55" s="60"/>
      <c r="AH55" s="60"/>
      <c r="AI55" s="60"/>
      <c r="AJ55" s="60"/>
      <c r="AK55" s="60"/>
      <c r="AL55" s="49"/>
      <c r="AM55" s="49"/>
      <c r="AN55" s="49"/>
      <c r="AO55" s="49"/>
    </row>
    <row r="56" spans="1:41" ht="12.75" customHeight="1">
      <c r="A56"/>
      <c r="B56" t="s">
        <v>490</v>
      </c>
      <c r="C56" s="49">
        <v>45</v>
      </c>
      <c r="D56" s="49">
        <v>416.73521097274715</v>
      </c>
      <c r="E56" s="49">
        <v>1092</v>
      </c>
      <c r="F56" s="49">
        <v>0</v>
      </c>
      <c r="G56" s="49">
        <v>0</v>
      </c>
      <c r="H56" s="49"/>
      <c r="I56" s="49">
        <v>0.21</v>
      </c>
      <c r="J56" s="49">
        <v>0.4009999632835388</v>
      </c>
      <c r="K56" s="49">
        <v>448.5112708094191</v>
      </c>
      <c r="L56" s="49">
        <v>0.09776745841134371</v>
      </c>
      <c r="M56" s="49">
        <v>0.24380913376808167</v>
      </c>
      <c r="N56" s="49">
        <v>1092.0002330129305</v>
      </c>
      <c r="O56" s="49">
        <v>0</v>
      </c>
      <c r="P56" s="49">
        <v>0</v>
      </c>
      <c r="Q56" s="49">
        <v>1092.000244140625</v>
      </c>
      <c r="R56" s="49">
        <v>132.0045545892383</v>
      </c>
      <c r="S56" s="49">
        <v>188.7917550844581</v>
      </c>
      <c r="T56" s="49">
        <v>5.409735679626465</v>
      </c>
      <c r="U56" s="49">
        <v>27.981529235839844</v>
      </c>
      <c r="V56" s="49">
        <v>221.93770968166714</v>
      </c>
      <c r="W56" s="49">
        <v>1092.0002330129305</v>
      </c>
      <c r="X56" s="69">
        <v>0.20323961751301123</v>
      </c>
      <c r="Y56" s="60">
        <v>89.93741607666016</v>
      </c>
      <c r="Z56" s="60">
        <v>0</v>
      </c>
      <c r="AA56" s="60">
        <v>0</v>
      </c>
      <c r="AB56" s="60">
        <v>311.8751220703125</v>
      </c>
      <c r="AC56" s="60">
        <v>1092.000244140625</v>
      </c>
      <c r="AD56" s="69">
        <v>0.28559985756874084</v>
      </c>
      <c r="AE56" s="60"/>
      <c r="AF56" s="60"/>
      <c r="AG56" s="60"/>
      <c r="AH56" s="60"/>
      <c r="AI56" s="60"/>
      <c r="AJ56" s="60"/>
      <c r="AK56" s="60"/>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60"/>
      <c r="Y57" s="60"/>
      <c r="Z57" s="60"/>
      <c r="AA57" s="60"/>
      <c r="AB57" s="60"/>
      <c r="AC57" s="60"/>
      <c r="AD57" s="60"/>
      <c r="AE57" s="60"/>
      <c r="AF57" s="60"/>
      <c r="AG57" s="60"/>
      <c r="AH57" s="60"/>
      <c r="AI57" s="60"/>
      <c r="AJ57" s="60"/>
      <c r="AK57" s="60"/>
      <c r="AL57" s="49"/>
      <c r="AM57" s="49"/>
      <c r="AN57" s="49"/>
      <c r="AO57" s="49"/>
    </row>
    <row r="58" spans="1:41" ht="12.75" customHeight="1" thickBo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thickBot="1">
      <c r="A59" s="65" t="s">
        <v>67</v>
      </c>
      <c r="B59" s="66"/>
      <c r="C59" s="67"/>
      <c r="D59" s="67"/>
      <c r="E59" s="67"/>
      <c r="F59" s="67"/>
      <c r="G59" s="67"/>
      <c r="H59" s="67"/>
      <c r="I59" s="67"/>
      <c r="J59" s="67"/>
      <c r="K59" s="68"/>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25.5">
      <c r="A60" s="57"/>
      <c r="B60" s="58" t="s">
        <v>68</v>
      </c>
      <c r="C60" s="59" t="s">
        <v>64</v>
      </c>
      <c r="D60" s="59" t="s">
        <v>65</v>
      </c>
      <c r="E60" s="59" t="s">
        <v>69</v>
      </c>
      <c r="F60" s="59" t="s">
        <v>70</v>
      </c>
      <c r="G60" s="59" t="s">
        <v>71</v>
      </c>
      <c r="H60" s="59" t="s">
        <v>72</v>
      </c>
      <c r="I60" s="59" t="s">
        <v>66</v>
      </c>
      <c r="J60" s="59" t="s">
        <v>55</v>
      </c>
      <c r="K60" s="59" t="s">
        <v>63</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73</v>
      </c>
      <c r="C61" s="49">
        <v>16738.61657215874</v>
      </c>
      <c r="D61" s="49">
        <v>2977.473635338561</v>
      </c>
      <c r="E61" s="49">
        <v>2977.47</v>
      </c>
      <c r="F61" s="49">
        <v>595.4946</v>
      </c>
      <c r="G61" s="49">
        <v>3572.968235338561</v>
      </c>
      <c r="H61" s="49">
        <v>1869.8798828125</v>
      </c>
      <c r="I61" s="49">
        <v>11.573084746460324</v>
      </c>
      <c r="J61" s="49">
        <v>7045.782360475921</v>
      </c>
      <c r="K61" s="48">
        <v>1.9719689335016688</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74</v>
      </c>
      <c r="C62" s="49">
        <v>0</v>
      </c>
      <c r="D62" s="49">
        <v>0</v>
      </c>
      <c r="E62" s="49">
        <v>0</v>
      </c>
      <c r="F62" s="49">
        <v>0</v>
      </c>
      <c r="G62" s="49">
        <v>0</v>
      </c>
      <c r="H62" s="49">
        <v>0</v>
      </c>
      <c r="I62" s="49">
        <v>0</v>
      </c>
      <c r="J62" s="49">
        <v>12366.252693721857</v>
      </c>
      <c r="K62" s="69">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75</v>
      </c>
      <c r="C63" s="49">
        <v>17902.232197985057</v>
      </c>
      <c r="D63" s="49">
        <v>7149.4306640625</v>
      </c>
      <c r="E63" s="49">
        <v>7149.428421341477</v>
      </c>
      <c r="F63" s="49">
        <v>1429.8856842682953</v>
      </c>
      <c r="G63" s="49">
        <v>8579.316348330794</v>
      </c>
      <c r="H63" s="49">
        <v>4198.0693359375</v>
      </c>
      <c r="I63" s="49">
        <v>25.98274526812795</v>
      </c>
      <c r="J63" s="49">
        <v>7535.5828416254735</v>
      </c>
      <c r="K63" s="69">
        <v>0.8783430445587437</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76</v>
      </c>
      <c r="C64" s="49">
        <v>7275.441146643244</v>
      </c>
      <c r="D64" s="49">
        <v>299.7500639611959</v>
      </c>
      <c r="E64" s="49">
        <v>299.75</v>
      </c>
      <c r="F64" s="49">
        <v>59.95</v>
      </c>
      <c r="G64" s="49">
        <v>359.7000639611959</v>
      </c>
      <c r="H64" s="49">
        <v>433.09710693359375</v>
      </c>
      <c r="I64" s="49">
        <v>2.68053031052721</v>
      </c>
      <c r="J64" s="49">
        <v>3062.4499148252303</v>
      </c>
      <c r="K64" s="48">
        <v>8.513898721896265</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77</v>
      </c>
      <c r="C65" s="49">
        <v>4659.715192821546</v>
      </c>
      <c r="D65" s="49">
        <v>1064.330827108784</v>
      </c>
      <c r="E65" s="49">
        <v>1064.33</v>
      </c>
      <c r="F65" s="49">
        <v>212.86612000000002</v>
      </c>
      <c r="G65" s="49">
        <v>1277.1969471087841</v>
      </c>
      <c r="H65" s="49">
        <v>2401.057861328125</v>
      </c>
      <c r="I65" s="49">
        <v>14.860657953278533</v>
      </c>
      <c r="J65" s="49">
        <v>1961.4129380938136</v>
      </c>
      <c r="K65" s="102">
        <v>1.5357169014018572</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78</v>
      </c>
      <c r="C66" s="49">
        <v>4803.460232693948</v>
      </c>
      <c r="D66" s="49">
        <v>1613.3927442685813</v>
      </c>
      <c r="E66" s="49">
        <v>1613.39</v>
      </c>
      <c r="F66" s="49">
        <v>322.67848000000004</v>
      </c>
      <c r="G66" s="49">
        <v>1936.0712242685813</v>
      </c>
      <c r="H66" s="49">
        <v>3530.78466796875</v>
      </c>
      <c r="I66" s="49">
        <v>21.85277880670154</v>
      </c>
      <c r="J66" s="49">
        <v>2021.9195075568773</v>
      </c>
      <c r="K66" s="102">
        <v>1.0443414902366146</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79</v>
      </c>
      <c r="C67" s="49">
        <v>10421.300753800819</v>
      </c>
      <c r="D67" s="49">
        <v>5631.976101760967</v>
      </c>
      <c r="E67" s="49">
        <v>5631.97</v>
      </c>
      <c r="F67" s="49">
        <v>1126.39498</v>
      </c>
      <c r="G67" s="49">
        <v>6758.371081760967</v>
      </c>
      <c r="H67" s="49">
        <v>5680.9921875</v>
      </c>
      <c r="I67" s="49">
        <v>35.160872520902736</v>
      </c>
      <c r="J67" s="49">
        <v>4386.635938986359</v>
      </c>
      <c r="K67" s="70">
        <v>0.6490670438065638</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t="s">
        <v>80</v>
      </c>
      <c r="C68" s="49">
        <v>0</v>
      </c>
      <c r="D68" s="49">
        <v>0</v>
      </c>
      <c r="E68" s="49">
        <v>0</v>
      </c>
      <c r="F68" s="49">
        <v>0</v>
      </c>
      <c r="G68" s="49">
        <v>0</v>
      </c>
      <c r="H68" s="49">
        <v>0</v>
      </c>
      <c r="I68" s="49">
        <v>0</v>
      </c>
      <c r="J68" s="49">
        <v>0</v>
      </c>
      <c r="K68" s="70">
        <v>0</v>
      </c>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t="s">
        <v>81</v>
      </c>
      <c r="C69" s="49">
        <v>109.2343333695213</v>
      </c>
      <c r="D69" s="49">
        <v>94.64002019445397</v>
      </c>
      <c r="E69" s="49">
        <v>94.64</v>
      </c>
      <c r="F69" s="49">
        <v>18.928</v>
      </c>
      <c r="G69" s="49">
        <v>113.56802019445396</v>
      </c>
      <c r="H69" s="49">
        <v>9107.5380859375</v>
      </c>
      <c r="I69" s="49">
        <v>56.36849395765775</v>
      </c>
      <c r="J69" s="49">
        <v>45.97998501820403</v>
      </c>
      <c r="K69" s="70">
        <v>0.40486736441716575</v>
      </c>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t="s">
        <v>82</v>
      </c>
      <c r="C70" s="49">
        <v>2109.269598158304</v>
      </c>
      <c r="D70" s="49">
        <v>3336.9425120426627</v>
      </c>
      <c r="E70" s="49">
        <v>3336.94</v>
      </c>
      <c r="F70" s="49">
        <v>667.38836</v>
      </c>
      <c r="G70" s="49">
        <v>4004.3308720426626</v>
      </c>
      <c r="H70" s="49">
        <v>16630.373046875</v>
      </c>
      <c r="I70" s="49">
        <v>102.92891663979586</v>
      </c>
      <c r="J70" s="49">
        <v>887.8544092413752</v>
      </c>
      <c r="K70" s="70">
        <v>0.22172353824210056</v>
      </c>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39"/>
      <c r="Y530" s="39"/>
      <c r="Z530" s="39"/>
      <c r="AA530" s="39"/>
      <c r="AB530" s="39"/>
      <c r="AC530" s="39"/>
      <c r="AD530" s="39"/>
    </row>
    <row r="531" spans="3:30" ht="12.75">
      <c r="C531" s="39"/>
      <c r="D531" s="39"/>
      <c r="E531" s="39"/>
      <c r="F531" s="39"/>
      <c r="G531" s="39"/>
      <c r="H531" s="39"/>
      <c r="I531" s="103"/>
      <c r="J531" s="103"/>
      <c r="K531" s="103"/>
      <c r="L531" s="103"/>
      <c r="M531" s="103"/>
      <c r="S531" s="39"/>
      <c r="T531" s="39"/>
      <c r="U531" s="39"/>
      <c r="X531" s="39"/>
      <c r="Y531" s="39"/>
      <c r="Z531" s="39"/>
      <c r="AA531" s="39"/>
      <c r="AB531" s="39"/>
      <c r="AC531" s="39"/>
      <c r="AD531" s="39"/>
    </row>
    <row r="532" spans="3:30" ht="12.75">
      <c r="C532" s="39"/>
      <c r="D532" s="39"/>
      <c r="E532" s="39"/>
      <c r="F532" s="39"/>
      <c r="G532" s="39"/>
      <c r="H532" s="39"/>
      <c r="I532" s="103"/>
      <c r="J532" s="103"/>
      <c r="K532" s="103"/>
      <c r="L532" s="103"/>
      <c r="M532" s="103"/>
      <c r="S532" s="39"/>
      <c r="T532" s="39"/>
      <c r="U532" s="39"/>
      <c r="X532" s="39"/>
      <c r="Y532" s="39"/>
      <c r="Z532" s="39"/>
      <c r="AA532" s="39"/>
      <c r="AB532" s="39"/>
      <c r="AC532" s="39"/>
      <c r="AD532" s="39"/>
    </row>
    <row r="533" spans="3:30" ht="12.75">
      <c r="C533" s="39"/>
      <c r="D533" s="39"/>
      <c r="E533" s="39"/>
      <c r="F533" s="39"/>
      <c r="G533" s="39"/>
      <c r="H533" s="39"/>
      <c r="I533" s="103"/>
      <c r="J533" s="103"/>
      <c r="K533" s="103"/>
      <c r="L533" s="103"/>
      <c r="M533" s="103"/>
      <c r="S533" s="39"/>
      <c r="T533" s="39"/>
      <c r="U533" s="39"/>
      <c r="X533" s="39"/>
      <c r="Y533" s="39"/>
      <c r="Z533" s="39"/>
      <c r="AA533" s="39"/>
      <c r="AB533" s="39"/>
      <c r="AC533" s="39"/>
      <c r="AD533" s="3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9"/>
  <dimension ref="A2:BL383"/>
  <sheetViews>
    <sheetView defaultGridColor="0" zoomScale="75" zoomScaleNormal="75" colorId="8" workbookViewId="0" topLeftCell="A7">
      <selection activeCell="E202" sqref="E202"/>
    </sheetView>
  </sheetViews>
  <sheetFormatPr defaultColWidth="9.140625" defaultRowHeight="12.75"/>
  <cols>
    <col min="1" max="1" width="41.00390625" style="371" customWidth="1"/>
    <col min="2" max="2" width="16.421875" style="371" customWidth="1"/>
    <col min="3" max="3" width="12.7109375" style="371" customWidth="1"/>
    <col min="4" max="4" width="13.57421875" style="371" customWidth="1"/>
    <col min="5" max="5" width="15.8515625" style="371" customWidth="1"/>
    <col min="6" max="6" width="18.57421875" style="371" customWidth="1"/>
    <col min="7" max="7" width="19.7109375" style="371" customWidth="1"/>
    <col min="8" max="8" width="19.57421875" style="371" customWidth="1"/>
    <col min="9" max="9" width="18.7109375" style="371" customWidth="1"/>
    <col min="10" max="10" width="9.421875" style="371" customWidth="1"/>
    <col min="11" max="11" width="11.421875" style="371" customWidth="1"/>
    <col min="12" max="12" width="15.00390625" style="371" customWidth="1"/>
    <col min="13" max="13" width="19.57421875" style="371" customWidth="1"/>
    <col min="14" max="16" width="12.57421875" style="371" customWidth="1"/>
    <col min="17" max="17" width="20.140625" style="371" customWidth="1"/>
    <col min="18" max="18" width="14.28125" style="371" customWidth="1"/>
    <col min="19" max="19" width="28.57421875" style="371" customWidth="1"/>
    <col min="20" max="20" width="36.28125" style="371" customWidth="1"/>
    <col min="21" max="21" width="11.28125" style="371" customWidth="1"/>
    <col min="22" max="22" width="12.57421875" style="371" customWidth="1"/>
    <col min="23" max="23" width="12.28125" style="371" customWidth="1"/>
    <col min="24" max="25" width="10.140625" style="371" customWidth="1"/>
    <col min="26" max="26" width="35.140625" style="371" customWidth="1"/>
    <col min="27" max="27" width="10.57421875" style="371" customWidth="1"/>
    <col min="28" max="28" width="12.140625" style="371" customWidth="1"/>
    <col min="29" max="29" width="13.140625" style="371" customWidth="1"/>
    <col min="30" max="30" width="11.140625" style="371" customWidth="1"/>
    <col min="31" max="31" width="9.140625" style="371" customWidth="1"/>
    <col min="32" max="32" width="35.8515625" style="371" customWidth="1"/>
    <col min="33" max="33" width="9.57421875" style="371" customWidth="1"/>
    <col min="34" max="34" width="9.421875" style="371" customWidth="1"/>
    <col min="35" max="35" width="12.140625" style="371" customWidth="1"/>
    <col min="36" max="36" width="9.8515625" style="371" customWidth="1"/>
    <col min="37" max="37" width="10.421875" style="371" customWidth="1"/>
    <col min="38" max="42" width="8.8515625" style="371" customWidth="1"/>
    <col min="43" max="43" width="9.57421875" style="371" customWidth="1"/>
    <col min="44" max="44" width="8.8515625" style="371" customWidth="1"/>
    <col min="45" max="45" width="10.140625" style="371" customWidth="1"/>
    <col min="46" max="46" width="10.421875" style="371" customWidth="1"/>
    <col min="47" max="50" width="8.8515625" style="371" customWidth="1"/>
    <col min="51" max="51" width="10.421875" style="371" customWidth="1"/>
    <col min="52" max="52" width="8.8515625" style="371" customWidth="1"/>
    <col min="53" max="53" width="9.8515625" style="371" customWidth="1"/>
    <col min="54" max="54" width="10.57421875" style="371" customWidth="1"/>
    <col min="55" max="55" width="8.140625" style="371" customWidth="1"/>
    <col min="56" max="61" width="8.8515625" style="371" customWidth="1"/>
    <col min="62" max="62" width="10.8515625" style="371" customWidth="1"/>
    <col min="63" max="16384" width="8.8515625" style="371" customWidth="1"/>
  </cols>
  <sheetData>
    <row r="1" ht="13.5" thickBot="1"/>
    <row r="2" spans="20:64" ht="12.75">
      <c r="T2" s="595">
        <f>$A2</f>
        <v>0</v>
      </c>
      <c r="U2" s="409">
        <f>IF(V2=0,0,(W2/V2))</f>
        <v>0</v>
      </c>
      <c r="V2" s="409">
        <f>$I2</f>
        <v>0</v>
      </c>
      <c r="W2" s="332">
        <f>$M2</f>
        <v>0</v>
      </c>
      <c r="X2" s="378"/>
      <c r="Z2" s="595">
        <f>$A2</f>
        <v>0</v>
      </c>
      <c r="AA2" s="409">
        <f>IF(AB2=0,0,(AC2/AB2))</f>
        <v>0</v>
      </c>
      <c r="AB2" s="409">
        <f>$J2</f>
        <v>0</v>
      </c>
      <c r="AC2" s="332">
        <f>$N2</f>
        <v>0</v>
      </c>
      <c r="AD2" s="378"/>
      <c r="AE2"/>
      <c r="AF2" s="595">
        <f>$A2</f>
        <v>0</v>
      </c>
      <c r="AG2" s="409">
        <f>IF(AH2=0,0,(AI2/AH2))</f>
        <v>0</v>
      </c>
      <c r="AH2" s="409">
        <f>$K2</f>
        <v>0</v>
      </c>
      <c r="AI2" s="332">
        <f>$O2</f>
        <v>0</v>
      </c>
      <c r="AJ2" s="378"/>
      <c r="AQ2" s="372" t="s">
        <v>186</v>
      </c>
      <c r="AR2" s="373"/>
      <c r="AS2" s="373"/>
      <c r="AT2" s="374"/>
      <c r="AU2" s="374"/>
      <c r="AV2" s="375"/>
      <c r="AY2" s="372" t="s">
        <v>187</v>
      </c>
      <c r="AZ2" s="373"/>
      <c r="BA2" s="373"/>
      <c r="BB2" s="374"/>
      <c r="BC2" s="374"/>
      <c r="BD2" s="375"/>
      <c r="BG2" s="372" t="s">
        <v>188</v>
      </c>
      <c r="BH2" s="373"/>
      <c r="BI2" s="373"/>
      <c r="BJ2" s="374"/>
      <c r="BK2" s="374"/>
      <c r="BL2" s="375"/>
    </row>
    <row r="3" spans="31:64" ht="13.5" thickBot="1">
      <c r="AE3"/>
      <c r="AQ3" s="380">
        <f>'Cost-Effectiveness Level'!$B$3</f>
        <v>0.2</v>
      </c>
      <c r="AR3" s="381">
        <f>'Cost-Effectiveness Level'!$C$3</f>
        <v>0.5</v>
      </c>
      <c r="AS3" s="381">
        <f>'Cost-Effectiveness Level'!$D$3</f>
        <v>0.25</v>
      </c>
      <c r="AT3" s="381">
        <f>'Cost-Effectiveness Level'!$E$3</f>
        <v>0.05</v>
      </c>
      <c r="AU3" s="382"/>
      <c r="AV3" s="383"/>
      <c r="AY3" s="380">
        <f>'Cost-Effectiveness Level'!$B$3</f>
        <v>0.2</v>
      </c>
      <c r="AZ3" s="381">
        <f>'Cost-Effectiveness Level'!$C$3</f>
        <v>0.5</v>
      </c>
      <c r="BA3" s="381">
        <f>'Cost-Effectiveness Level'!$D$3</f>
        <v>0.25</v>
      </c>
      <c r="BB3" s="381">
        <f>'Cost-Effectiveness Level'!$E$3</f>
        <v>0.05</v>
      </c>
      <c r="BC3" s="382"/>
      <c r="BD3" s="383"/>
      <c r="BG3" s="380">
        <f>'Cost-Effectiveness Level'!$B$3</f>
        <v>0.2</v>
      </c>
      <c r="BH3" s="381">
        <f>'Cost-Effectiveness Level'!$C$3</f>
        <v>0.5</v>
      </c>
      <c r="BI3" s="381">
        <f>'Cost-Effectiveness Level'!$D$3</f>
        <v>0.25</v>
      </c>
      <c r="BJ3" s="381">
        <f>'Cost-Effectiveness Level'!$E$3</f>
        <v>0.05</v>
      </c>
      <c r="BK3" s="382"/>
      <c r="BL3" s="383"/>
    </row>
    <row r="4" spans="1:64" ht="13.5" thickBot="1">
      <c r="A4" s="744"/>
      <c r="B4" s="745"/>
      <c r="C4" s="744" t="s">
        <v>477</v>
      </c>
      <c r="D4" s="746"/>
      <c r="E4" s="745"/>
      <c r="F4" s="744" t="s">
        <v>194</v>
      </c>
      <c r="G4" s="746"/>
      <c r="H4" s="745"/>
      <c r="I4" s="744" t="s">
        <v>200</v>
      </c>
      <c r="J4" s="746"/>
      <c r="K4" s="746"/>
      <c r="L4" s="719" t="s">
        <v>478</v>
      </c>
      <c r="M4" s="740" t="s">
        <v>479</v>
      </c>
      <c r="N4" s="741"/>
      <c r="O4" s="741"/>
      <c r="P4" s="741"/>
      <c r="T4" s="456" t="s">
        <v>189</v>
      </c>
      <c r="U4" s="457">
        <v>850</v>
      </c>
      <c r="V4" s="458"/>
      <c r="W4" s="313"/>
      <c r="Y4"/>
      <c r="Z4" s="456" t="s">
        <v>189</v>
      </c>
      <c r="AA4" s="457">
        <v>1350</v>
      </c>
      <c r="AB4" s="458"/>
      <c r="AC4" s="313"/>
      <c r="AD4" s="378"/>
      <c r="AE4"/>
      <c r="AF4" s="456" t="s">
        <v>189</v>
      </c>
      <c r="AG4" s="457">
        <v>2184</v>
      </c>
      <c r="AH4" s="458"/>
      <c r="AI4" s="313"/>
      <c r="AJ4"/>
      <c r="AQ4" s="385" t="s">
        <v>190</v>
      </c>
      <c r="AR4" s="386" t="s">
        <v>191</v>
      </c>
      <c r="AS4" s="386" t="s">
        <v>192</v>
      </c>
      <c r="AT4" s="386" t="s">
        <v>193</v>
      </c>
      <c r="AU4" s="386" t="s">
        <v>194</v>
      </c>
      <c r="AV4" s="387" t="s">
        <v>195</v>
      </c>
      <c r="AY4" s="385" t="s">
        <v>190</v>
      </c>
      <c r="AZ4" s="386" t="s">
        <v>191</v>
      </c>
      <c r="BA4" s="386" t="s">
        <v>192</v>
      </c>
      <c r="BB4" s="386" t="s">
        <v>193</v>
      </c>
      <c r="BC4" s="386" t="s">
        <v>194</v>
      </c>
      <c r="BD4" s="387" t="s">
        <v>195</v>
      </c>
      <c r="BG4" s="385" t="s">
        <v>190</v>
      </c>
      <c r="BH4" s="386" t="s">
        <v>191</v>
      </c>
      <c r="BI4" s="386" t="s">
        <v>192</v>
      </c>
      <c r="BJ4" s="386" t="s">
        <v>193</v>
      </c>
      <c r="BK4" s="386" t="s">
        <v>194</v>
      </c>
      <c r="BL4" s="387" t="s">
        <v>195</v>
      </c>
    </row>
    <row r="5" spans="1:64" ht="13.5" thickBot="1">
      <c r="A5" s="310" t="s">
        <v>476</v>
      </c>
      <c r="B5" s="310" t="s">
        <v>196</v>
      </c>
      <c r="C5" s="310">
        <v>850</v>
      </c>
      <c r="D5" s="310">
        <v>1350</v>
      </c>
      <c r="E5" s="310">
        <v>2184</v>
      </c>
      <c r="F5" s="310">
        <v>850</v>
      </c>
      <c r="G5" s="310">
        <v>1350</v>
      </c>
      <c r="H5" s="310">
        <v>2184</v>
      </c>
      <c r="I5" s="310">
        <v>850</v>
      </c>
      <c r="J5" s="310">
        <v>1350</v>
      </c>
      <c r="K5" s="310">
        <v>2184</v>
      </c>
      <c r="L5" s="720"/>
      <c r="M5" s="310">
        <v>850</v>
      </c>
      <c r="N5" s="310">
        <v>1350</v>
      </c>
      <c r="O5" s="261">
        <v>2184</v>
      </c>
      <c r="P5" s="603">
        <f>SUMPRODUCT('Cost-Effectiveness Level'!$I$3:$K$3,M5:O5)</f>
        <v>1600.28</v>
      </c>
      <c r="T5" s="459" t="s">
        <v>57</v>
      </c>
      <c r="U5" s="384" t="s">
        <v>202</v>
      </c>
      <c r="V5" s="384" t="s">
        <v>200</v>
      </c>
      <c r="W5" s="460" t="s">
        <v>200</v>
      </c>
      <c r="Y5"/>
      <c r="Z5" s="459" t="s">
        <v>57</v>
      </c>
      <c r="AA5" s="384" t="s">
        <v>202</v>
      </c>
      <c r="AB5" s="384" t="s">
        <v>200</v>
      </c>
      <c r="AC5" s="461" t="s">
        <v>201</v>
      </c>
      <c r="AE5"/>
      <c r="AF5" s="459" t="s">
        <v>57</v>
      </c>
      <c r="AG5" s="384" t="s">
        <v>202</v>
      </c>
      <c r="AH5" s="384" t="s">
        <v>200</v>
      </c>
      <c r="AI5" s="461" t="s">
        <v>201</v>
      </c>
      <c r="AJ5"/>
      <c r="AQ5" s="290">
        <v>43977.32200410197</v>
      </c>
      <c r="AR5" s="291">
        <v>50202.10958101377</v>
      </c>
      <c r="AS5" s="291">
        <v>65026.01816583651</v>
      </c>
      <c r="AT5" s="291">
        <v>74636.03867565191</v>
      </c>
      <c r="AU5" s="388">
        <v>1500</v>
      </c>
      <c r="AV5" s="389">
        <f>('Cost-Effectiveness Level'!$B$3*AQ5)+('Cost-Effectiveness Level'!$C$3*AR5)+('Cost-Effectiveness Level'!$D$3*AS5)+('Cost-Effectiveness Level'!$E$3*AT5)</f>
        <v>53884.825666569006</v>
      </c>
      <c r="AY5" s="290">
        <v>42722.648696161734</v>
      </c>
      <c r="AZ5" s="291">
        <v>48847.23117491943</v>
      </c>
      <c r="BA5" s="291">
        <v>63476.64811016701</v>
      </c>
      <c r="BB5" s="291">
        <v>73096.04453559918</v>
      </c>
      <c r="BC5" s="388">
        <v>1500</v>
      </c>
      <c r="BD5" s="389">
        <f>('Cost-Effectiveness Level'!$B$3*AY5)+('Cost-Effectiveness Level'!$C$3*AZ5)+('Cost-Effectiveness Level'!$D$3*BA5)+('Cost-Effectiveness Level'!$E$3*BB5)</f>
        <v>52492.10958101377</v>
      </c>
      <c r="BG5" s="290">
        <v>38694.66744799297</v>
      </c>
      <c r="BH5" s="291">
        <v>44448.08086727219</v>
      </c>
      <c r="BI5" s="291">
        <v>58612.745385291535</v>
      </c>
      <c r="BJ5" s="291">
        <v>68061.5587459713</v>
      </c>
      <c r="BK5" s="388">
        <v>1500</v>
      </c>
      <c r="BL5" s="389">
        <f>('Cost-Effectiveness Level'!$B$3*BG5)+('Cost-Effectiveness Level'!$C$3*BH5)+('Cost-Effectiveness Level'!$D$3*BI5)+('Cost-Effectiveness Level'!$E$3*BJ5)</f>
        <v>48019.238206856135</v>
      </c>
    </row>
    <row r="6" spans="1:64" ht="12.75">
      <c r="A6" s="465" t="s">
        <v>203</v>
      </c>
      <c r="B6" s="466">
        <v>0.1543716268311488</v>
      </c>
      <c r="C6" s="467">
        <v>810</v>
      </c>
      <c r="D6" s="467">
        <v>1011</v>
      </c>
      <c r="E6" s="467">
        <v>1521</v>
      </c>
      <c r="F6" s="468">
        <f>$B6*C6</f>
        <v>125.04101773323053</v>
      </c>
      <c r="G6" s="468">
        <f aca="true" t="shared" si="0" ref="G6:H21">$B6*D6</f>
        <v>156.06971472629144</v>
      </c>
      <c r="H6" s="468">
        <f t="shared" si="0"/>
        <v>234.79924441017732</v>
      </c>
      <c r="I6" s="469">
        <v>0</v>
      </c>
      <c r="J6" s="469">
        <v>1</v>
      </c>
      <c r="K6" s="469">
        <v>2</v>
      </c>
      <c r="L6" s="451">
        <v>0</v>
      </c>
      <c r="M6" s="613">
        <v>0</v>
      </c>
      <c r="N6" s="540">
        <v>0</v>
      </c>
      <c r="O6" s="598">
        <v>0</v>
      </c>
      <c r="P6" s="614">
        <f>SUMPRODUCT('Cost-Effectiveness Level'!$I$3:$K$3,M6:O6)</f>
        <v>0</v>
      </c>
      <c r="S6" s="378"/>
      <c r="T6" s="595" t="s">
        <v>203</v>
      </c>
      <c r="U6" s="409">
        <v>0</v>
      </c>
      <c r="V6" s="409">
        <v>0</v>
      </c>
      <c r="W6" s="332">
        <v>0</v>
      </c>
      <c r="X6" s="378"/>
      <c r="Z6" s="595" t="s">
        <v>203</v>
      </c>
      <c r="AA6" s="409">
        <v>0</v>
      </c>
      <c r="AB6" s="409">
        <v>1</v>
      </c>
      <c r="AC6" s="332">
        <v>0</v>
      </c>
      <c r="AD6" s="378"/>
      <c r="AE6"/>
      <c r="AF6" s="595" t="s">
        <v>203</v>
      </c>
      <c r="AG6" s="409">
        <v>0</v>
      </c>
      <c r="AH6" s="409">
        <v>2</v>
      </c>
      <c r="AI6" s="332">
        <v>0</v>
      </c>
      <c r="AJ6"/>
      <c r="AQ6" s="290">
        <v>43308.29182537358</v>
      </c>
      <c r="AR6" s="291">
        <v>49442.513917374745</v>
      </c>
      <c r="AS6" s="291">
        <v>64069.967770290066</v>
      </c>
      <c r="AT6" s="291">
        <v>73547.67067096397</v>
      </c>
      <c r="AU6" s="388">
        <v>1480</v>
      </c>
      <c r="AV6" s="389">
        <f>('Cost-Effectiveness Level'!$B$3*AQ6)+('Cost-Effectiveness Level'!$C$3*AR6)+('Cost-Effectiveness Level'!$D$3*AS6)+('Cost-Effectiveness Level'!$E$3*AT6)</f>
        <v>53077.79079988281</v>
      </c>
      <c r="AY6" s="290">
        <v>42054.99560503956</v>
      </c>
      <c r="AZ6" s="291">
        <v>48090.946381482565</v>
      </c>
      <c r="BA6" s="291">
        <v>62524.02578376795</v>
      </c>
      <c r="BB6" s="291">
        <v>72010.9874011134</v>
      </c>
      <c r="BC6" s="388">
        <v>1480</v>
      </c>
      <c r="BD6" s="389">
        <f>('Cost-Effectiveness Level'!$B$3*AY6)+('Cost-Effectiveness Level'!$C$3*AZ6)+('Cost-Effectiveness Level'!$D$3*BA6)+('Cost-Effectiveness Level'!$E$3*BB6)</f>
        <v>51688.02812774685</v>
      </c>
      <c r="BG6" s="290">
        <v>38040.580134778786</v>
      </c>
      <c r="BH6" s="291">
        <v>43697.83181951363</v>
      </c>
      <c r="BI6" s="291">
        <v>57672.985643129214</v>
      </c>
      <c r="BJ6" s="291">
        <v>66982.97685320833</v>
      </c>
      <c r="BK6" s="388">
        <v>1480</v>
      </c>
      <c r="BL6" s="389">
        <f>('Cost-Effectiveness Level'!$B$3*BG6)+('Cost-Effectiveness Level'!$C$3*BH6)+('Cost-Effectiveness Level'!$D$3*BI6)+('Cost-Effectiveness Level'!$E$3*BJ6)</f>
        <v>47224.4271901553</v>
      </c>
    </row>
    <row r="7" spans="1:64" ht="13.5" thickBot="1">
      <c r="A7" s="473" t="s">
        <v>171</v>
      </c>
      <c r="B7" s="474">
        <v>0.094</v>
      </c>
      <c r="C7" s="475">
        <v>810</v>
      </c>
      <c r="D7" s="475">
        <v>1011</v>
      </c>
      <c r="E7" s="475">
        <v>1521</v>
      </c>
      <c r="F7" s="476">
        <f aca="true" t="shared" si="1" ref="F7:F36">$B7*C7</f>
        <v>76.14</v>
      </c>
      <c r="G7" s="476">
        <f t="shared" si="0"/>
        <v>95.034</v>
      </c>
      <c r="H7" s="476">
        <f t="shared" si="0"/>
        <v>142.974</v>
      </c>
      <c r="I7" s="477">
        <f>F6-F7</f>
        <v>48.90101773323053</v>
      </c>
      <c r="J7" s="477">
        <f>G6-G7</f>
        <v>61.03571472629143</v>
      </c>
      <c r="K7" s="477">
        <f>H6-H7</f>
        <v>91.82524441017733</v>
      </c>
      <c r="L7" s="478">
        <f>'Summary Table'!H11</f>
        <v>0.8075531268461642</v>
      </c>
      <c r="M7" s="479">
        <f aca="true" t="shared" si="2" ref="M7:O9">C7*$L7</f>
        <v>654.118032745393</v>
      </c>
      <c r="N7" s="480">
        <f t="shared" si="2"/>
        <v>816.436211241472</v>
      </c>
      <c r="O7" s="605">
        <f t="shared" si="2"/>
        <v>1228.2883059330159</v>
      </c>
      <c r="P7" s="611">
        <f>SUMPRODUCT('Cost-Effectiveness Level'!$I$3:$K$3,M7:O7)</f>
        <v>956.9504553127047</v>
      </c>
      <c r="S7" s="378"/>
      <c r="T7" s="595" t="s">
        <v>480</v>
      </c>
      <c r="U7" s="409">
        <v>0</v>
      </c>
      <c r="V7" s="409">
        <v>0</v>
      </c>
      <c r="W7" s="332">
        <v>0</v>
      </c>
      <c r="X7" s="378"/>
      <c r="Z7" s="595" t="s">
        <v>480</v>
      </c>
      <c r="AA7" s="409">
        <v>0</v>
      </c>
      <c r="AB7" s="409">
        <v>0</v>
      </c>
      <c r="AC7" s="332">
        <v>0</v>
      </c>
      <c r="AD7" s="378"/>
      <c r="AE7"/>
      <c r="AF7" s="595" t="s">
        <v>480</v>
      </c>
      <c r="AG7" s="409">
        <v>0</v>
      </c>
      <c r="AH7" s="409">
        <v>0</v>
      </c>
      <c r="AI7" s="332">
        <v>0</v>
      </c>
      <c r="AJ7"/>
      <c r="AQ7" s="290">
        <v>42639.320246117786</v>
      </c>
      <c r="AR7" s="291">
        <v>48683.03545268093</v>
      </c>
      <c r="AS7" s="291">
        <v>63113.85877527103</v>
      </c>
      <c r="AT7" s="291">
        <v>72460.00585994727</v>
      </c>
      <c r="AU7" s="388">
        <v>1460</v>
      </c>
      <c r="AV7" s="389">
        <f>('Cost-Effectiveness Level'!$B$3*AQ7)+('Cost-Effectiveness Level'!$C$3*AR7)+('Cost-Effectiveness Level'!$D$3*AS7)+('Cost-Effectiveness Level'!$E$3*AT7)</f>
        <v>52270.846762379144</v>
      </c>
      <c r="AY7" s="290">
        <v>41387.752710225606</v>
      </c>
      <c r="AZ7" s="291">
        <v>47334.749487254616</v>
      </c>
      <c r="BA7" s="291">
        <v>61571.43275710518</v>
      </c>
      <c r="BB7" s="291">
        <v>70926.16466451803</v>
      </c>
      <c r="BC7" s="388">
        <v>1460</v>
      </c>
      <c r="BD7" s="389">
        <f>('Cost-Effectiveness Level'!$B$3*AY7)+('Cost-Effectiveness Level'!$C$3*AZ7)+('Cost-Effectiveness Level'!$D$3*BA7)+('Cost-Effectiveness Level'!$E$3*BB7)</f>
        <v>50884.09170817462</v>
      </c>
      <c r="BG7" s="290">
        <v>37386.96161734544</v>
      </c>
      <c r="BH7" s="291">
        <v>42948.49106358043</v>
      </c>
      <c r="BI7" s="291">
        <v>56734.016993847064</v>
      </c>
      <c r="BJ7" s="291">
        <v>65904.48285965426</v>
      </c>
      <c r="BK7" s="388">
        <v>1460</v>
      </c>
      <c r="BL7" s="389">
        <f>('Cost-Effectiveness Level'!$B$3*BG7)+('Cost-Effectiveness Level'!$C$3*BH7)+('Cost-Effectiveness Level'!$D$3*BI7)+('Cost-Effectiveness Level'!$E$3*BJ7)</f>
        <v>46430.36624670378</v>
      </c>
    </row>
    <row r="8" spans="1:64" ht="12.75">
      <c r="A8" s="465" t="s">
        <v>480</v>
      </c>
      <c r="B8" s="481">
        <v>0.163</v>
      </c>
      <c r="C8" s="467">
        <v>850</v>
      </c>
      <c r="D8" s="467">
        <v>945</v>
      </c>
      <c r="E8" s="467">
        <v>728</v>
      </c>
      <c r="F8" s="468">
        <f t="shared" si="1"/>
        <v>138.55</v>
      </c>
      <c r="G8" s="468">
        <f t="shared" si="0"/>
        <v>154.035</v>
      </c>
      <c r="H8" s="468">
        <f t="shared" si="0"/>
        <v>118.664</v>
      </c>
      <c r="I8" s="469">
        <v>0</v>
      </c>
      <c r="J8" s="469">
        <v>0</v>
      </c>
      <c r="K8" s="469">
        <v>0</v>
      </c>
      <c r="L8" s="451">
        <v>0</v>
      </c>
      <c r="M8" s="470">
        <f t="shared" si="2"/>
        <v>0</v>
      </c>
      <c r="N8" s="471">
        <f t="shared" si="2"/>
        <v>0</v>
      </c>
      <c r="O8" s="604">
        <f t="shared" si="2"/>
        <v>0</v>
      </c>
      <c r="P8" s="611">
        <f>SUMPRODUCT('Cost-Effectiveness Level'!$I$3:$K$3,M8:O8)</f>
        <v>0</v>
      </c>
      <c r="S8" s="378"/>
      <c r="T8" s="595" t="s">
        <v>170</v>
      </c>
      <c r="U8" s="409">
        <v>0</v>
      </c>
      <c r="V8" s="409">
        <v>0</v>
      </c>
      <c r="W8" s="332">
        <v>0</v>
      </c>
      <c r="X8" s="378"/>
      <c r="Z8" s="595" t="s">
        <v>170</v>
      </c>
      <c r="AA8" s="409">
        <v>0</v>
      </c>
      <c r="AB8" s="409">
        <v>0</v>
      </c>
      <c r="AC8" s="332">
        <v>0</v>
      </c>
      <c r="AD8" s="378"/>
      <c r="AE8"/>
      <c r="AF8" s="595" t="s">
        <v>170</v>
      </c>
      <c r="AG8" s="409">
        <v>0</v>
      </c>
      <c r="AH8" s="409">
        <v>0</v>
      </c>
      <c r="AI8" s="332">
        <v>0</v>
      </c>
      <c r="AJ8"/>
      <c r="AQ8" s="290">
        <v>41970.348666861995</v>
      </c>
      <c r="AR8" s="291">
        <v>47923.76208614122</v>
      </c>
      <c r="AS8" s="291">
        <v>62157.74978025198</v>
      </c>
      <c r="AT8" s="291">
        <v>71372.54614708468</v>
      </c>
      <c r="AU8" s="388">
        <v>1440</v>
      </c>
      <c r="AV8" s="389">
        <f>('Cost-Effectiveness Level'!$B$3*AQ8)+('Cost-Effectiveness Level'!$C$3*AR8)+('Cost-Effectiveness Level'!$D$3*AS8)+('Cost-Effectiveness Level'!$E$3*AT8)</f>
        <v>51464.01552886023</v>
      </c>
      <c r="AY8" s="290">
        <v>40720.832112510994</v>
      </c>
      <c r="AZ8" s="291">
        <v>46578.406094345155</v>
      </c>
      <c r="BA8" s="291">
        <v>60618.89832991503</v>
      </c>
      <c r="BB8" s="291">
        <v>69841.8986229124</v>
      </c>
      <c r="BC8" s="388">
        <v>1440</v>
      </c>
      <c r="BD8" s="389">
        <f>('Cost-Effectiveness Level'!$B$3*AY8)+('Cost-Effectiveness Level'!$C$3*AZ8)+('Cost-Effectiveness Level'!$D$3*BA8)+('Cost-Effectiveness Level'!$E$3*BB8)</f>
        <v>50080.18898329916</v>
      </c>
      <c r="BG8" s="290">
        <v>36734.10489305596</v>
      </c>
      <c r="BH8" s="291">
        <v>42199.707002636984</v>
      </c>
      <c r="BI8" s="291">
        <v>55795.19484324641</v>
      </c>
      <c r="BJ8" s="291">
        <v>64825.959566363905</v>
      </c>
      <c r="BK8" s="388">
        <v>1440</v>
      </c>
      <c r="BL8" s="389">
        <f>('Cost-Effectiveness Level'!$B$3*BG8)+('Cost-Effectiveness Level'!$C$3*BH8)+('Cost-Effectiveness Level'!$D$3*BI8)+('Cost-Effectiveness Level'!$E$3*BJ8)</f>
        <v>45636.77116905949</v>
      </c>
    </row>
    <row r="9" spans="1:64" ht="12.75">
      <c r="A9" s="321" t="s">
        <v>170</v>
      </c>
      <c r="B9" s="324">
        <v>0.08</v>
      </c>
      <c r="C9" s="328">
        <v>850</v>
      </c>
      <c r="D9" s="328">
        <v>945</v>
      </c>
      <c r="E9" s="328">
        <v>728</v>
      </c>
      <c r="F9" s="348">
        <f t="shared" si="1"/>
        <v>68</v>
      </c>
      <c r="G9" s="348">
        <f t="shared" si="0"/>
        <v>75.60000000000001</v>
      </c>
      <c r="H9" s="348">
        <f t="shared" si="0"/>
        <v>58.24</v>
      </c>
      <c r="I9" s="329">
        <v>0</v>
      </c>
      <c r="J9" s="329">
        <v>0</v>
      </c>
      <c r="K9" s="329">
        <v>0</v>
      </c>
      <c r="L9" s="330">
        <v>0</v>
      </c>
      <c r="M9" s="453">
        <f t="shared" si="2"/>
        <v>0</v>
      </c>
      <c r="N9" s="332">
        <f t="shared" si="2"/>
        <v>0</v>
      </c>
      <c r="O9" s="599">
        <f t="shared" si="2"/>
        <v>0</v>
      </c>
      <c r="P9" s="611">
        <f>SUMPRODUCT('Cost-Effectiveness Level'!$I$3:$K$3,M9:O9)</f>
        <v>0</v>
      </c>
      <c r="S9" s="378"/>
      <c r="T9" s="595" t="s">
        <v>175</v>
      </c>
      <c r="U9" s="409">
        <v>0</v>
      </c>
      <c r="V9" s="409">
        <v>0</v>
      </c>
      <c r="W9" s="332">
        <v>0</v>
      </c>
      <c r="X9" s="378"/>
      <c r="Z9" s="595" t="s">
        <v>175</v>
      </c>
      <c r="AA9" s="409">
        <v>0</v>
      </c>
      <c r="AB9" s="409">
        <v>0</v>
      </c>
      <c r="AC9" s="332">
        <v>0</v>
      </c>
      <c r="AD9" s="378"/>
      <c r="AE9"/>
      <c r="AF9" s="595" t="s">
        <v>175</v>
      </c>
      <c r="AG9" s="409">
        <v>0</v>
      </c>
      <c r="AH9" s="409">
        <v>0</v>
      </c>
      <c r="AI9" s="332">
        <v>0</v>
      </c>
      <c r="AJ9"/>
      <c r="AQ9" s="290">
        <v>41301.69938470554</v>
      </c>
      <c r="AR9" s="291">
        <v>47164.78171696455</v>
      </c>
      <c r="AS9" s="291">
        <v>61201.81658365075</v>
      </c>
      <c r="AT9" s="291">
        <v>70285.1157339584</v>
      </c>
      <c r="AU9" s="388">
        <v>1420</v>
      </c>
      <c r="AV9" s="389">
        <f>('Cost-Effectiveness Level'!$B$3*AQ9)+('Cost-Effectiveness Level'!$C$3*AR9)+('Cost-Effectiveness Level'!$D$3*AS9)+('Cost-Effectiveness Level'!$E$3*AT9)</f>
        <v>50657.44066803399</v>
      </c>
      <c r="AY9" s="290">
        <v>40054.116612950485</v>
      </c>
      <c r="AZ9" s="291">
        <v>45822.1799003809</v>
      </c>
      <c r="BA9" s="291">
        <v>59666.21740404336</v>
      </c>
      <c r="BB9" s="291">
        <v>68757.51538236155</v>
      </c>
      <c r="BC9" s="388">
        <v>1420</v>
      </c>
      <c r="BD9" s="389">
        <f>('Cost-Effectiveness Level'!$B$3*AY9)+('Cost-Effectiveness Level'!$C$3*AZ9)+('Cost-Effectiveness Level'!$D$3*BA9)+('Cost-Effectiveness Level'!$E$3*BB9)</f>
        <v>49276.34339290947</v>
      </c>
      <c r="BG9" s="290">
        <v>36082.127160855554</v>
      </c>
      <c r="BH9" s="291">
        <v>41451.42103721067</v>
      </c>
      <c r="BI9" s="291">
        <v>54856.87078816291</v>
      </c>
      <c r="BJ9" s="291">
        <v>63748.1101670085</v>
      </c>
      <c r="BK9" s="388">
        <v>1420</v>
      </c>
      <c r="BL9" s="389">
        <f>('Cost-Effectiveness Level'!$B$3*BG9)+('Cost-Effectiveness Level'!$C$3*BH9)+('Cost-Effectiveness Level'!$D$3*BI9)+('Cost-Effectiveness Level'!$E$3*BJ9)</f>
        <v>44843.7591561676</v>
      </c>
    </row>
    <row r="10" spans="1:64" ht="12.75">
      <c r="A10" s="320" t="s">
        <v>172</v>
      </c>
      <c r="B10" s="323">
        <v>0.06</v>
      </c>
      <c r="C10" s="342">
        <v>850</v>
      </c>
      <c r="D10" s="342">
        <v>945</v>
      </c>
      <c r="E10" s="342">
        <v>728</v>
      </c>
      <c r="F10" s="347">
        <f t="shared" si="1"/>
        <v>51</v>
      </c>
      <c r="G10" s="347">
        <f t="shared" si="0"/>
        <v>56.699999999999996</v>
      </c>
      <c r="H10" s="347">
        <f t="shared" si="0"/>
        <v>43.68</v>
      </c>
      <c r="I10" s="343">
        <f>F8-F10</f>
        <v>87.55000000000001</v>
      </c>
      <c r="J10" s="343">
        <f>G8-G10</f>
        <v>97.33500000000001</v>
      </c>
      <c r="K10" s="343">
        <f>H8-H10</f>
        <v>74.98400000000001</v>
      </c>
      <c r="L10" s="344">
        <f>'Summary Table'!H$4</f>
        <v>0.8619925838937454</v>
      </c>
      <c r="M10" s="452">
        <f>C10*$L10</f>
        <v>732.6936963096837</v>
      </c>
      <c r="N10" s="345">
        <f>D10*$L10</f>
        <v>814.5829917795894</v>
      </c>
      <c r="O10" s="606">
        <f>E10*$L10</f>
        <v>627.5306010746467</v>
      </c>
      <c r="P10" s="611">
        <f>SUMPRODUCT('Cost-Effectiveness Level'!$I$3:$K$3,M10:O10)</f>
        <v>719.6431285895324</v>
      </c>
      <c r="S10" s="378"/>
      <c r="T10" s="595" t="s">
        <v>481</v>
      </c>
      <c r="U10" s="409">
        <v>0</v>
      </c>
      <c r="V10" s="409">
        <v>0</v>
      </c>
      <c r="W10" s="332">
        <v>0</v>
      </c>
      <c r="X10" s="378"/>
      <c r="Z10" s="595" t="s">
        <v>481</v>
      </c>
      <c r="AA10" s="409">
        <v>0</v>
      </c>
      <c r="AB10" s="409">
        <v>0</v>
      </c>
      <c r="AC10" s="332">
        <v>0</v>
      </c>
      <c r="AD10" s="378"/>
      <c r="AE10"/>
      <c r="AF10" s="595" t="s">
        <v>481</v>
      </c>
      <c r="AG10" s="409">
        <v>0</v>
      </c>
      <c r="AH10" s="409">
        <v>0</v>
      </c>
      <c r="AI10" s="332">
        <v>0</v>
      </c>
      <c r="AJ10"/>
      <c r="AQ10" s="290">
        <v>40633.07940228539</v>
      </c>
      <c r="AR10" s="291">
        <v>46405.742748315264</v>
      </c>
      <c r="AS10" s="291">
        <v>60246.05918546733</v>
      </c>
      <c r="AT10" s="291">
        <v>69197.89041898624</v>
      </c>
      <c r="AU10" s="388">
        <v>1400</v>
      </c>
      <c r="AV10" s="389">
        <f>('Cost-Effectiveness Level'!$B$3*AQ10)+('Cost-Effectiveness Level'!$C$3*AR10)+('Cost-Effectiveness Level'!$D$3*AS10)+('Cost-Effectiveness Level'!$E$3*AT10)</f>
        <v>49850.896571930854</v>
      </c>
      <c r="AY10" s="290">
        <v>39387.72341048931</v>
      </c>
      <c r="AZ10" s="291">
        <v>45066.100205098155</v>
      </c>
      <c r="BA10" s="291">
        <v>58713.38997949018</v>
      </c>
      <c r="BB10" s="291">
        <v>67673.57163785526</v>
      </c>
      <c r="BC10" s="388">
        <v>1400</v>
      </c>
      <c r="BD10" s="389">
        <f>('Cost-Effectiveness Level'!$B$3*AY10)+('Cost-Effectiveness Level'!$C$3*AZ10)+('Cost-Effectiveness Level'!$D$3*BA10)+('Cost-Effectiveness Level'!$E$3*BB10)</f>
        <v>48472.620861412244</v>
      </c>
      <c r="BG10" s="290">
        <v>35430.94052153531</v>
      </c>
      <c r="BH10" s="291">
        <v>40703.92616466452</v>
      </c>
      <c r="BI10" s="291">
        <v>53918.75183123352</v>
      </c>
      <c r="BJ10" s="291">
        <v>62670.61236448872</v>
      </c>
      <c r="BK10" s="388">
        <v>1400</v>
      </c>
      <c r="BL10" s="389">
        <f>('Cost-Effectiveness Level'!$B$3*BG10)+('Cost-Effectiveness Level'!$C$3*BH10)+('Cost-Effectiveness Level'!$D$3*BI10)+('Cost-Effectiveness Level'!$E$3*BJ10)</f>
        <v>44051.36976267214</v>
      </c>
    </row>
    <row r="11" spans="1:64" ht="12.75">
      <c r="A11" s="321" t="s">
        <v>175</v>
      </c>
      <c r="B11" s="324">
        <v>0.043</v>
      </c>
      <c r="C11" s="328">
        <v>850</v>
      </c>
      <c r="D11" s="328">
        <v>945</v>
      </c>
      <c r="E11" s="328">
        <v>728</v>
      </c>
      <c r="F11" s="348">
        <f t="shared" si="1"/>
        <v>36.55</v>
      </c>
      <c r="G11" s="348">
        <f t="shared" si="0"/>
        <v>40.635</v>
      </c>
      <c r="H11" s="348">
        <f t="shared" si="0"/>
        <v>31.304</v>
      </c>
      <c r="I11" s="329">
        <v>0</v>
      </c>
      <c r="J11" s="329">
        <v>0</v>
      </c>
      <c r="K11" s="329">
        <v>0</v>
      </c>
      <c r="L11" s="330" t="s">
        <v>564</v>
      </c>
      <c r="M11" s="453">
        <v>0</v>
      </c>
      <c r="N11" s="332">
        <v>0</v>
      </c>
      <c r="O11" s="599">
        <v>0</v>
      </c>
      <c r="P11" s="611">
        <f>SUMPRODUCT('Cost-Effectiveness Level'!$I$3:$K$3,M11:O11)</f>
        <v>0</v>
      </c>
      <c r="S11" s="378"/>
      <c r="T11" s="595" t="s">
        <v>482</v>
      </c>
      <c r="U11" s="409">
        <v>0</v>
      </c>
      <c r="V11" s="409">
        <v>0</v>
      </c>
      <c r="W11" s="332">
        <v>0</v>
      </c>
      <c r="X11" s="378"/>
      <c r="Z11" s="595" t="s">
        <v>482</v>
      </c>
      <c r="AA11" s="409">
        <v>0</v>
      </c>
      <c r="AB11" s="409">
        <v>0</v>
      </c>
      <c r="AC11" s="332">
        <v>0</v>
      </c>
      <c r="AD11" s="378"/>
      <c r="AE11"/>
      <c r="AF11" s="595" t="s">
        <v>482</v>
      </c>
      <c r="AG11" s="409">
        <v>0</v>
      </c>
      <c r="AH11" s="409">
        <v>0</v>
      </c>
      <c r="AI11" s="332">
        <v>0</v>
      </c>
      <c r="AJ11"/>
      <c r="AQ11" s="290">
        <v>39964.40082039262</v>
      </c>
      <c r="AR11" s="291">
        <v>45646.8795780838</v>
      </c>
      <c r="AS11" s="291">
        <v>59290.41898622913</v>
      </c>
      <c r="AT11" s="291">
        <v>68110.89950190448</v>
      </c>
      <c r="AU11" s="388">
        <v>1380</v>
      </c>
      <c r="AV11" s="389">
        <f>('Cost-Effectiveness Level'!$B$3*AQ11)+('Cost-Effectiveness Level'!$C$3*AR11)+('Cost-Effectiveness Level'!$D$3*AS11)+('Cost-Effectiveness Level'!$E$3*AT11)</f>
        <v>49044.46967477293</v>
      </c>
      <c r="AY11" s="290">
        <v>38721.56460591855</v>
      </c>
      <c r="AZ11" s="291">
        <v>44310.284207442135</v>
      </c>
      <c r="BA11" s="291">
        <v>57760.70905361852</v>
      </c>
      <c r="BB11" s="291">
        <v>66589.65719308527</v>
      </c>
      <c r="BC11" s="388">
        <v>1380</v>
      </c>
      <c r="BD11" s="389">
        <f>('Cost-Effectiveness Level'!$B$3*AY11)+('Cost-Effectiveness Level'!$C$3*AZ11)+('Cost-Effectiveness Level'!$D$3*BA11)+('Cost-Effectiveness Level'!$E$3*BB11)</f>
        <v>47669.115147963676</v>
      </c>
      <c r="BG11" s="290">
        <v>34779.51948432464</v>
      </c>
      <c r="BH11" s="291">
        <v>39956.25549370056</v>
      </c>
      <c r="BI11" s="291">
        <v>52980.95517140346</v>
      </c>
      <c r="BJ11" s="291">
        <v>61594.84324641079</v>
      </c>
      <c r="BK11" s="388">
        <v>1380</v>
      </c>
      <c r="BL11" s="389">
        <f>('Cost-Effectiveness Level'!$B$3*BG11)+('Cost-Effectiveness Level'!$C$3*BH11)+('Cost-Effectiveness Level'!$D$3*BI11)+('Cost-Effectiveness Level'!$E$3*BJ11)</f>
        <v>43259.01259888661</v>
      </c>
    </row>
    <row r="12" spans="1:64" ht="12.75">
      <c r="A12" s="321" t="s">
        <v>177</v>
      </c>
      <c r="B12" s="324">
        <v>0.039</v>
      </c>
      <c r="C12" s="328">
        <v>850</v>
      </c>
      <c r="D12" s="328">
        <v>945</v>
      </c>
      <c r="E12" s="328">
        <v>728</v>
      </c>
      <c r="F12" s="348">
        <f t="shared" si="1"/>
        <v>33.15</v>
      </c>
      <c r="G12" s="348">
        <f t="shared" si="0"/>
        <v>36.855</v>
      </c>
      <c r="H12" s="348">
        <f t="shared" si="0"/>
        <v>28.392</v>
      </c>
      <c r="I12" s="329">
        <f>F10-F12</f>
        <v>17.85</v>
      </c>
      <c r="J12" s="329">
        <f>G10-G12</f>
        <v>19.845</v>
      </c>
      <c r="K12" s="329">
        <f>H10-H12</f>
        <v>15.288</v>
      </c>
      <c r="L12" s="330">
        <f>'Summary Table'!H$5+'Summary Table'!H$6</f>
        <v>0.33036423134516213</v>
      </c>
      <c r="M12" s="453">
        <f aca="true" t="shared" si="3" ref="M12:M35">C12*$L12</f>
        <v>280.8095966433878</v>
      </c>
      <c r="N12" s="332">
        <f aca="true" t="shared" si="4" ref="N12:N35">D12*$L12</f>
        <v>312.1941986211782</v>
      </c>
      <c r="O12" s="599">
        <f aca="true" t="shared" si="5" ref="O12:O35">E12*$L12</f>
        <v>240.50516041927804</v>
      </c>
      <c r="P12" s="611">
        <f>SUMPRODUCT('Cost-Effectiveness Level'!$I$3:$K$3,M12:O12)</f>
        <v>275.80788218082205</v>
      </c>
      <c r="S12" s="378"/>
      <c r="T12" s="595" t="s">
        <v>483</v>
      </c>
      <c r="U12" s="409">
        <v>0</v>
      </c>
      <c r="V12" s="409">
        <v>0</v>
      </c>
      <c r="W12" s="332">
        <v>0</v>
      </c>
      <c r="X12" s="378"/>
      <c r="Z12" s="595" t="s">
        <v>484</v>
      </c>
      <c r="AA12" s="409">
        <v>0</v>
      </c>
      <c r="AB12" s="409">
        <v>0</v>
      </c>
      <c r="AC12" s="332">
        <v>0</v>
      </c>
      <c r="AD12" s="378"/>
      <c r="AE12"/>
      <c r="AF12" s="595" t="s">
        <v>483</v>
      </c>
      <c r="AG12" s="409">
        <v>0</v>
      </c>
      <c r="AH12" s="409">
        <v>0</v>
      </c>
      <c r="AI12" s="332">
        <v>0</v>
      </c>
      <c r="AJ12"/>
      <c r="AQ12" s="290">
        <v>39295.78083797246</v>
      </c>
      <c r="AR12" s="291">
        <v>44888.10430706124</v>
      </c>
      <c r="AS12" s="291">
        <v>58335.04248461764</v>
      </c>
      <c r="AT12" s="291">
        <v>67023.90858482274</v>
      </c>
      <c r="AU12" s="388">
        <v>1360</v>
      </c>
      <c r="AV12" s="389">
        <f>('Cost-Effectiveness Level'!$B$3*AQ12)+('Cost-Effectiveness Level'!$C$3*AR12)+('Cost-Effectiveness Level'!$D$3*AS12)+('Cost-Effectiveness Level'!$E$3*AT12)</f>
        <v>48238.16437152067</v>
      </c>
      <c r="AY12" s="290">
        <v>38055.25930266628</v>
      </c>
      <c r="AZ12" s="291">
        <v>43554.93700556695</v>
      </c>
      <c r="BA12" s="291">
        <v>56809.024318781136</v>
      </c>
      <c r="BB12" s="291">
        <v>65505.77204805158</v>
      </c>
      <c r="BC12" s="388">
        <v>1360</v>
      </c>
      <c r="BD12" s="389">
        <f>('Cost-Effectiveness Level'!$B$3*AY12)+('Cost-Effectiveness Level'!$C$3*AZ12)+('Cost-Effectiveness Level'!$D$3*BA12)+('Cost-Effectiveness Level'!$E$3*BB12)</f>
        <v>46866.065045414594</v>
      </c>
      <c r="BG12" s="290">
        <v>34129.06533841196</v>
      </c>
      <c r="BH12" s="291">
        <v>39208.08672721946</v>
      </c>
      <c r="BI12" s="291">
        <v>52044.35980076179</v>
      </c>
      <c r="BJ12" s="291">
        <v>60519.51362437739</v>
      </c>
      <c r="BK12" s="388">
        <v>1360</v>
      </c>
      <c r="BL12" s="389">
        <f>('Cost-Effectiveness Level'!$B$3*BG12)+('Cost-Effectiveness Level'!$C$3*BH12)+('Cost-Effectiveness Level'!$D$3*BI12)+('Cost-Effectiveness Level'!$E$3*BJ12)</f>
        <v>42466.922062701444</v>
      </c>
    </row>
    <row r="13" spans="1:64" ht="13.5" thickBot="1">
      <c r="A13" s="482" t="s">
        <v>178</v>
      </c>
      <c r="B13" s="483">
        <v>0.034</v>
      </c>
      <c r="C13" s="335">
        <v>850</v>
      </c>
      <c r="D13" s="335">
        <v>945</v>
      </c>
      <c r="E13" s="335">
        <v>728</v>
      </c>
      <c r="F13" s="349">
        <f t="shared" si="1"/>
        <v>28.900000000000002</v>
      </c>
      <c r="G13" s="349">
        <f t="shared" si="0"/>
        <v>32.13</v>
      </c>
      <c r="H13" s="349">
        <f t="shared" si="0"/>
        <v>24.752000000000002</v>
      </c>
      <c r="I13" s="336">
        <f>F12-F13</f>
        <v>4.2499999999999964</v>
      </c>
      <c r="J13" s="336">
        <f>G12-G13</f>
        <v>4.724999999999994</v>
      </c>
      <c r="K13" s="336">
        <f>H12-H13</f>
        <v>3.639999999999997</v>
      </c>
      <c r="L13" s="338">
        <v>0.18196839895363545</v>
      </c>
      <c r="M13" s="454">
        <f t="shared" si="3"/>
        <v>154.67313911059014</v>
      </c>
      <c r="N13" s="340">
        <f t="shared" si="4"/>
        <v>171.9601370111855</v>
      </c>
      <c r="O13" s="607">
        <f t="shared" si="5"/>
        <v>132.47299443824662</v>
      </c>
      <c r="P13" s="611">
        <f>SUMPRODUCT('Cost-Effectiveness Level'!$I$3:$K$3,M13:O13)</f>
        <v>151.9181375504321</v>
      </c>
      <c r="S13" s="378"/>
      <c r="T13" s="595" t="s">
        <v>484</v>
      </c>
      <c r="U13" s="409">
        <v>0</v>
      </c>
      <c r="V13" s="409">
        <v>0</v>
      </c>
      <c r="W13" s="332">
        <v>0</v>
      </c>
      <c r="X13" s="378"/>
      <c r="Z13" s="595" t="s">
        <v>204</v>
      </c>
      <c r="AA13" s="409">
        <v>0</v>
      </c>
      <c r="AB13" s="409">
        <v>0</v>
      </c>
      <c r="AC13" s="332">
        <v>0</v>
      </c>
      <c r="AD13" s="378"/>
      <c r="AE13"/>
      <c r="AF13" s="595" t="s">
        <v>484</v>
      </c>
      <c r="AG13" s="409">
        <v>0</v>
      </c>
      <c r="AH13" s="409">
        <v>0</v>
      </c>
      <c r="AI13" s="332">
        <v>0</v>
      </c>
      <c r="AJ13"/>
      <c r="AQ13" s="290">
        <v>38627.36595370642</v>
      </c>
      <c r="AR13" s="291">
        <v>44129.475534720186</v>
      </c>
      <c r="AS13" s="291">
        <v>57380.10547905069</v>
      </c>
      <c r="AT13" s="291">
        <v>65937.15206563141</v>
      </c>
      <c r="AU13" s="388">
        <v>1340</v>
      </c>
      <c r="AV13" s="389">
        <f>('Cost-Effectiveness Level'!$B$3*AQ13)+('Cost-Effectiveness Level'!$C$3*AR13)+('Cost-Effectiveness Level'!$D$3*AS13)+('Cost-Effectiveness Level'!$E$3*AT13)</f>
        <v>47432.09493114562</v>
      </c>
      <c r="AY13" s="290">
        <v>37389.27629651334</v>
      </c>
      <c r="AZ13" s="291">
        <v>42799.58980369177</v>
      </c>
      <c r="BA13" s="291">
        <v>55857.72048051568</v>
      </c>
      <c r="BB13" s="291">
        <v>64422.00410196308</v>
      </c>
      <c r="BC13" s="388">
        <v>1340</v>
      </c>
      <c r="BD13" s="389">
        <f>('Cost-Effectiveness Level'!$B$3*AY13)+('Cost-Effectiveness Level'!$C$3*AZ13)+('Cost-Effectiveness Level'!$D$3*BA13)+('Cost-Effectiveness Level'!$E$3*BB13)</f>
        <v>46063.18048637563</v>
      </c>
      <c r="BG13" s="290">
        <v>33480.164078523296</v>
      </c>
      <c r="BH13" s="291">
        <v>38460.03515968357</v>
      </c>
      <c r="BI13" s="291">
        <v>51108.29182537358</v>
      </c>
      <c r="BJ13" s="291">
        <v>59444.76999707003</v>
      </c>
      <c r="BK13" s="388">
        <v>1340</v>
      </c>
      <c r="BL13" s="389">
        <f>('Cost-Effectiveness Level'!$B$3*BG13)+('Cost-Effectiveness Level'!$C$3*BH13)+('Cost-Effectiveness Level'!$D$3*BI13)+('Cost-Effectiveness Level'!$E$3*BJ13)</f>
        <v>41675.361851743335</v>
      </c>
    </row>
    <row r="14" spans="1:64" ht="12.75">
      <c r="A14" s="465" t="s">
        <v>481</v>
      </c>
      <c r="B14" s="481">
        <v>0.177</v>
      </c>
      <c r="C14" s="467">
        <v>0</v>
      </c>
      <c r="D14" s="467">
        <v>405</v>
      </c>
      <c r="E14" s="467">
        <v>0</v>
      </c>
      <c r="F14" s="468">
        <f t="shared" si="1"/>
        <v>0</v>
      </c>
      <c r="G14" s="468">
        <f t="shared" si="0"/>
        <v>71.685</v>
      </c>
      <c r="H14" s="468">
        <f t="shared" si="0"/>
        <v>0</v>
      </c>
      <c r="I14" s="469">
        <v>0</v>
      </c>
      <c r="J14" s="469">
        <v>0</v>
      </c>
      <c r="K14" s="469">
        <v>0</v>
      </c>
      <c r="L14" s="451">
        <v>0</v>
      </c>
      <c r="M14" s="470">
        <f t="shared" si="3"/>
        <v>0</v>
      </c>
      <c r="N14" s="471">
        <f t="shared" si="4"/>
        <v>0</v>
      </c>
      <c r="O14" s="604">
        <f t="shared" si="5"/>
        <v>0</v>
      </c>
      <c r="P14" s="611">
        <f>SUMPRODUCT('Cost-Effectiveness Level'!$I$3:$K$3,M14:O14)</f>
        <v>0</v>
      </c>
      <c r="S14" s="378"/>
      <c r="T14" s="595" t="s">
        <v>485</v>
      </c>
      <c r="U14" s="409">
        <v>0</v>
      </c>
      <c r="V14" s="409">
        <v>0</v>
      </c>
      <c r="W14" s="332">
        <v>0</v>
      </c>
      <c r="X14" s="378"/>
      <c r="Z14" s="595" t="s">
        <v>487</v>
      </c>
      <c r="AA14" s="409">
        <v>0</v>
      </c>
      <c r="AB14" s="409">
        <v>0</v>
      </c>
      <c r="AC14" s="332">
        <v>0</v>
      </c>
      <c r="AD14" s="378"/>
      <c r="AE14"/>
      <c r="AF14" s="595" t="s">
        <v>485</v>
      </c>
      <c r="AG14" s="409">
        <v>0</v>
      </c>
      <c r="AH14" s="409">
        <v>0</v>
      </c>
      <c r="AI14" s="332">
        <v>0</v>
      </c>
      <c r="AJ14"/>
      <c r="AQ14" s="290">
        <v>37959.12686785819</v>
      </c>
      <c r="AR14" s="291">
        <v>43371.08116026956</v>
      </c>
      <c r="AS14" s="291">
        <v>56425.49077058307</v>
      </c>
      <c r="AT14" s="291">
        <v>64850.33694696749</v>
      </c>
      <c r="AU14" s="388">
        <v>1320</v>
      </c>
      <c r="AV14" s="389">
        <f>('Cost-Effectiveness Level'!$B$3*AQ14)+('Cost-Effectiveness Level'!$C$3*AR14)+('Cost-Effectiveness Level'!$D$3*AS14)+('Cost-Effectiveness Level'!$E$3*AT14)</f>
        <v>46626.255493700555</v>
      </c>
      <c r="AY14" s="290">
        <v>36724.05508350425</v>
      </c>
      <c r="AZ14" s="291">
        <v>42044.12540287138</v>
      </c>
      <c r="BA14" s="291">
        <v>54906.29944330502</v>
      </c>
      <c r="BB14" s="291">
        <v>63338.03105772049</v>
      </c>
      <c r="BC14" s="388">
        <v>1320</v>
      </c>
      <c r="BD14" s="389">
        <f>('Cost-Effectiveness Level'!$B$3*AY14)+('Cost-Effectiveness Level'!$C$3*AZ14)+('Cost-Effectiveness Level'!$D$3*BA14)+('Cost-Effectiveness Level'!$E$3*BB14)</f>
        <v>45260.35013184882</v>
      </c>
      <c r="BG14" s="290">
        <v>32831.936712569586</v>
      </c>
      <c r="BH14" s="291">
        <v>37712.13009082918</v>
      </c>
      <c r="BI14" s="291">
        <v>50172.7805449751</v>
      </c>
      <c r="BJ14" s="291">
        <v>58369.90917081747</v>
      </c>
      <c r="BK14" s="388">
        <v>1320</v>
      </c>
      <c r="BL14" s="389">
        <f>('Cost-Effectiveness Level'!$B$3*BG14)+('Cost-Effectiveness Level'!$C$3*BH14)+('Cost-Effectiveness Level'!$D$3*BI14)+('Cost-Effectiveness Level'!$E$3*BJ14)</f>
        <v>40884.14298271315</v>
      </c>
    </row>
    <row r="15" spans="1:64" ht="12.75">
      <c r="A15" s="322" t="s">
        <v>482</v>
      </c>
      <c r="B15" s="324">
        <v>0.073</v>
      </c>
      <c r="C15" s="328">
        <v>0</v>
      </c>
      <c r="D15" s="328">
        <v>405</v>
      </c>
      <c r="E15" s="328">
        <v>0</v>
      </c>
      <c r="F15" s="348">
        <f t="shared" si="1"/>
        <v>0</v>
      </c>
      <c r="G15" s="348">
        <f t="shared" si="0"/>
        <v>29.564999999999998</v>
      </c>
      <c r="H15" s="348">
        <f t="shared" si="0"/>
        <v>0</v>
      </c>
      <c r="I15" s="329">
        <v>0</v>
      </c>
      <c r="J15" s="329">
        <v>0</v>
      </c>
      <c r="K15" s="329">
        <v>0</v>
      </c>
      <c r="L15" s="330">
        <v>0</v>
      </c>
      <c r="M15" s="453">
        <f t="shared" si="3"/>
        <v>0</v>
      </c>
      <c r="N15" s="332">
        <f t="shared" si="4"/>
        <v>0</v>
      </c>
      <c r="O15" s="599">
        <f t="shared" si="5"/>
        <v>0</v>
      </c>
      <c r="P15" s="611">
        <f>SUMPRODUCT('Cost-Effectiveness Level'!$I$3:$K$3,M15:O15)</f>
        <v>0</v>
      </c>
      <c r="S15" s="378"/>
      <c r="T15" s="595" t="s">
        <v>486</v>
      </c>
      <c r="U15" s="409">
        <v>0</v>
      </c>
      <c r="V15" s="409">
        <v>0</v>
      </c>
      <c r="W15" s="332">
        <v>0</v>
      </c>
      <c r="X15" s="378"/>
      <c r="Z15" s="595" t="s">
        <v>566</v>
      </c>
      <c r="AA15" s="409">
        <v>0</v>
      </c>
      <c r="AB15" s="409">
        <v>91.50407074677149</v>
      </c>
      <c r="AC15" s="332">
        <v>0</v>
      </c>
      <c r="AD15" s="378"/>
      <c r="AE15"/>
      <c r="AF15" s="595" t="s">
        <v>486</v>
      </c>
      <c r="AG15" s="409">
        <v>0</v>
      </c>
      <c r="AH15" s="409">
        <v>0</v>
      </c>
      <c r="AI15" s="332">
        <v>0</v>
      </c>
      <c r="AJ15"/>
      <c r="AQ15" s="290">
        <v>37291.18077937299</v>
      </c>
      <c r="AR15" s="291">
        <v>42612.68678581893</v>
      </c>
      <c r="AS15" s="291">
        <v>55471.13975974217</v>
      </c>
      <c r="AT15" s="291">
        <v>63763.66832698506</v>
      </c>
      <c r="AU15" s="388">
        <v>1300</v>
      </c>
      <c r="AV15" s="389">
        <f>('Cost-Effectiveness Level'!$B$3*AQ15)+('Cost-Effectiveness Level'!$C$3*AR15)+('Cost-Effectiveness Level'!$D$3*AS15)+('Cost-Effectiveness Level'!$E$3*AT15)</f>
        <v>45820.54790506886</v>
      </c>
      <c r="AY15" s="290">
        <v>36059.09756812189</v>
      </c>
      <c r="AZ15" s="291">
        <v>41288.983299150306</v>
      </c>
      <c r="BA15" s="291">
        <v>53954.81980662174</v>
      </c>
      <c r="BB15" s="291">
        <v>62253.88221506007</v>
      </c>
      <c r="BC15" s="388">
        <v>1300</v>
      </c>
      <c r="BD15" s="389">
        <f>('Cost-Effectiveness Level'!$B$3*AY15)+('Cost-Effectiveness Level'!$C$3*AZ15)+('Cost-Effectiveness Level'!$D$3*BA15)+('Cost-Effectiveness Level'!$E$3*BB15)</f>
        <v>44457.71022560797</v>
      </c>
      <c r="BG15" s="290">
        <v>32185.584529739233</v>
      </c>
      <c r="BH15" s="291">
        <v>36965.719308526226</v>
      </c>
      <c r="BI15" s="291">
        <v>49237.562261939645</v>
      </c>
      <c r="BJ15" s="291">
        <v>57295.19484324641</v>
      </c>
      <c r="BK15" s="388">
        <v>1300</v>
      </c>
      <c r="BL15" s="389">
        <f>('Cost-Effectiveness Level'!$B$3*BG15)+('Cost-Effectiveness Level'!$C$3*BH15)+('Cost-Effectiveness Level'!$D$3*BI15)+('Cost-Effectiveness Level'!$E$3*BJ15)</f>
        <v>40094.1268678582</v>
      </c>
    </row>
    <row r="16" spans="1:64" ht="12.75">
      <c r="A16" s="320" t="s">
        <v>483</v>
      </c>
      <c r="B16" s="323">
        <v>0.048</v>
      </c>
      <c r="C16" s="342">
        <v>0</v>
      </c>
      <c r="D16" s="342">
        <v>405</v>
      </c>
      <c r="E16" s="342">
        <v>0</v>
      </c>
      <c r="F16" s="347">
        <f t="shared" si="1"/>
        <v>0</v>
      </c>
      <c r="G16" s="347">
        <f t="shared" si="0"/>
        <v>19.44</v>
      </c>
      <c r="H16" s="347">
        <f t="shared" si="0"/>
        <v>0</v>
      </c>
      <c r="I16" s="343">
        <f>F14-F16</f>
        <v>0</v>
      </c>
      <c r="J16" s="343">
        <f>G14-G16</f>
        <v>52.245000000000005</v>
      </c>
      <c r="K16" s="343">
        <f>H14-H16</f>
        <v>0</v>
      </c>
      <c r="L16" s="344">
        <f>'Summary Table'!H$4</f>
        <v>0.8619925838937454</v>
      </c>
      <c r="M16" s="452">
        <f t="shared" si="3"/>
        <v>0</v>
      </c>
      <c r="N16" s="345">
        <f t="shared" si="4"/>
        <v>349.1069964769669</v>
      </c>
      <c r="O16" s="606">
        <f t="shared" si="5"/>
        <v>0</v>
      </c>
      <c r="P16" s="611">
        <f>SUMPRODUCT('Cost-Effectiveness Level'!$I$3:$K$3,M16:O16)</f>
        <v>132.66065866124742</v>
      </c>
      <c r="S16" s="378"/>
      <c r="T16" s="595" t="s">
        <v>204</v>
      </c>
      <c r="U16" s="409">
        <v>0</v>
      </c>
      <c r="V16" s="409">
        <v>0</v>
      </c>
      <c r="W16" s="332">
        <v>0</v>
      </c>
      <c r="X16" s="378"/>
      <c r="Z16" s="595" t="s">
        <v>567</v>
      </c>
      <c r="AA16" s="409">
        <v>0</v>
      </c>
      <c r="AB16" s="409">
        <v>91.50407074677149</v>
      </c>
      <c r="AC16" s="332">
        <v>0</v>
      </c>
      <c r="AD16" s="378"/>
      <c r="AE16"/>
      <c r="AF16" s="595" t="s">
        <v>204</v>
      </c>
      <c r="AG16" s="409">
        <v>0</v>
      </c>
      <c r="AH16" s="409">
        <v>0</v>
      </c>
      <c r="AI16" s="332">
        <v>0</v>
      </c>
      <c r="AJ16"/>
      <c r="AQ16" s="290">
        <v>36623.52768825081</v>
      </c>
      <c r="AR16" s="291">
        <v>41854.38031057721</v>
      </c>
      <c r="AS16" s="291">
        <v>54516.84734837387</v>
      </c>
      <c r="AT16" s="291">
        <v>62677.46850278348</v>
      </c>
      <c r="AU16" s="388">
        <v>1280</v>
      </c>
      <c r="AV16" s="389">
        <f>('Cost-Effectiveness Level'!$B$3*AQ16)+('Cost-Effectiveness Level'!$C$3*AR16)+('Cost-Effectiveness Level'!$D$3*AS16)+('Cost-Effectiveness Level'!$E$3*AT16)</f>
        <v>45014.980955171406</v>
      </c>
      <c r="AY16" s="290">
        <v>35394.462349838854</v>
      </c>
      <c r="AZ16" s="291">
        <v>40534.046293583364</v>
      </c>
      <c r="BA16" s="291">
        <v>53004.04336360973</v>
      </c>
      <c r="BB16" s="291">
        <v>61170.46586580721</v>
      </c>
      <c r="BC16" s="388">
        <v>1280</v>
      </c>
      <c r="BD16" s="389">
        <f>('Cost-Effectiveness Level'!$B$3*AY16)+('Cost-Effectiveness Level'!$C$3*AZ16)+('Cost-Effectiveness Level'!$D$3*BA16)+('Cost-Effectiveness Level'!$E$3*BB16)</f>
        <v>43655.44975095225</v>
      </c>
      <c r="BG16" s="290">
        <v>31540.785232932903</v>
      </c>
      <c r="BH16" s="291">
        <v>36220.71491356578</v>
      </c>
      <c r="BI16" s="291">
        <v>48302.92997363024</v>
      </c>
      <c r="BJ16" s="291">
        <v>56221.359507764435</v>
      </c>
      <c r="BK16" s="388">
        <v>1280</v>
      </c>
      <c r="BL16" s="389">
        <f>('Cost-Effectiveness Level'!$B$3*BG16)+('Cost-Effectiveness Level'!$C$3*BH16)+('Cost-Effectiveness Level'!$D$3*BI16)+('Cost-Effectiveness Level'!$E$3*BJ16)</f>
        <v>39305.31497216525</v>
      </c>
    </row>
    <row r="17" spans="1:64" ht="12.75">
      <c r="A17" s="322" t="s">
        <v>484</v>
      </c>
      <c r="B17" s="324">
        <v>0.035</v>
      </c>
      <c r="C17" s="328">
        <v>0</v>
      </c>
      <c r="D17" s="328">
        <v>405</v>
      </c>
      <c r="E17" s="328">
        <v>0</v>
      </c>
      <c r="F17" s="348">
        <f t="shared" si="1"/>
        <v>0</v>
      </c>
      <c r="G17" s="348">
        <f t="shared" si="0"/>
        <v>14.175</v>
      </c>
      <c r="H17" s="348">
        <f t="shared" si="0"/>
        <v>0</v>
      </c>
      <c r="I17" s="329">
        <f aca="true" t="shared" si="6" ref="I17:K19">F16-F17</f>
        <v>0</v>
      </c>
      <c r="J17" s="329">
        <v>0</v>
      </c>
      <c r="K17" s="329">
        <f t="shared" si="6"/>
        <v>0</v>
      </c>
      <c r="L17" s="330">
        <v>0</v>
      </c>
      <c r="M17" s="453">
        <f t="shared" si="3"/>
        <v>0</v>
      </c>
      <c r="N17" s="332">
        <f t="shared" si="4"/>
        <v>0</v>
      </c>
      <c r="O17" s="599">
        <f t="shared" si="5"/>
        <v>0</v>
      </c>
      <c r="P17" s="611">
        <f>SUMPRODUCT('Cost-Effectiveness Level'!$I$3:$K$3,M17:O17)</f>
        <v>0</v>
      </c>
      <c r="S17" s="378"/>
      <c r="T17" s="595" t="s">
        <v>487</v>
      </c>
      <c r="U17" s="409">
        <v>0</v>
      </c>
      <c r="V17" s="409">
        <v>0</v>
      </c>
      <c r="W17" s="332">
        <v>0</v>
      </c>
      <c r="X17" s="378"/>
      <c r="Z17" s="595" t="s">
        <v>205</v>
      </c>
      <c r="AA17" s="409">
        <v>0</v>
      </c>
      <c r="AB17" s="409">
        <v>1</v>
      </c>
      <c r="AC17" s="332">
        <v>0</v>
      </c>
      <c r="AD17" s="378"/>
      <c r="AE17"/>
      <c r="AF17" s="595" t="s">
        <v>487</v>
      </c>
      <c r="AG17" s="409">
        <v>0</v>
      </c>
      <c r="AH17" s="409">
        <v>0</v>
      </c>
      <c r="AI17" s="332">
        <v>0</v>
      </c>
      <c r="AJ17"/>
      <c r="AQ17" s="290">
        <v>35956.16759449165</v>
      </c>
      <c r="AR17" s="291">
        <v>41096.2496337533</v>
      </c>
      <c r="AS17" s="291">
        <v>53562.84793436859</v>
      </c>
      <c r="AT17" s="291">
        <v>61591.67887489013</v>
      </c>
      <c r="AU17" s="388">
        <v>1260</v>
      </c>
      <c r="AV17" s="389">
        <f>('Cost-Effectiveness Level'!$B$3*AQ17)+('Cost-Effectiveness Level'!$C$3*AR17)+('Cost-Effectiveness Level'!$D$3*AS17)+('Cost-Effectiveness Level'!$E$3*AT17)</f>
        <v>44209.65426311163</v>
      </c>
      <c r="AY17" s="290">
        <v>34730.38382654556</v>
      </c>
      <c r="AZ17" s="291">
        <v>39779.07998828011</v>
      </c>
      <c r="BA17" s="291">
        <v>52054.38031057721</v>
      </c>
      <c r="BB17" s="291">
        <v>60087.43041312628</v>
      </c>
      <c r="BC17" s="388">
        <v>1260</v>
      </c>
      <c r="BD17" s="389">
        <f>('Cost-Effectiveness Level'!$B$3*AY17)+('Cost-Effectiveness Level'!$C$3*AZ17)+('Cost-Effectiveness Level'!$D$3*BA17)+('Cost-Effectiveness Level'!$E$3*BB17)</f>
        <v>42853.58335774978</v>
      </c>
      <c r="BG17" s="290">
        <v>30898.505713448583</v>
      </c>
      <c r="BH17" s="291">
        <v>35476.20861412248</v>
      </c>
      <c r="BI17" s="291">
        <v>47370.524465279814</v>
      </c>
      <c r="BJ17" s="291">
        <v>55147.34837386464</v>
      </c>
      <c r="BK17" s="388">
        <v>1260</v>
      </c>
      <c r="BL17" s="389">
        <f>('Cost-Effectiveness Level'!$B$3*BG17)+('Cost-Effectiveness Level'!$C$3*BH17)+('Cost-Effectiveness Level'!$D$3*BI17)+('Cost-Effectiveness Level'!$E$3*BJ17)</f>
        <v>38517.80398476415</v>
      </c>
    </row>
    <row r="18" spans="1:64" ht="12.75">
      <c r="A18" s="322" t="s">
        <v>485</v>
      </c>
      <c r="B18" s="324">
        <v>0.03</v>
      </c>
      <c r="C18" s="328">
        <v>0</v>
      </c>
      <c r="D18" s="328">
        <v>405</v>
      </c>
      <c r="E18" s="328">
        <v>0</v>
      </c>
      <c r="F18" s="348">
        <f t="shared" si="1"/>
        <v>0</v>
      </c>
      <c r="G18" s="348">
        <f t="shared" si="0"/>
        <v>12.15</v>
      </c>
      <c r="H18" s="348">
        <f t="shared" si="0"/>
        <v>0</v>
      </c>
      <c r="I18" s="329">
        <f>F16-F18</f>
        <v>0</v>
      </c>
      <c r="J18" s="329">
        <f>G16-G18</f>
        <v>7.290000000000001</v>
      </c>
      <c r="K18" s="329">
        <f>H16-H18</f>
        <v>0</v>
      </c>
      <c r="L18" s="330">
        <f>'Summary Table'!H$5+'Summary Table'!H$6</f>
        <v>0.33036423134516213</v>
      </c>
      <c r="M18" s="453">
        <f t="shared" si="3"/>
        <v>0</v>
      </c>
      <c r="N18" s="332">
        <f t="shared" si="4"/>
        <v>133.79751369479067</v>
      </c>
      <c r="O18" s="599">
        <f t="shared" si="5"/>
        <v>0</v>
      </c>
      <c r="P18" s="611">
        <f>SUMPRODUCT('Cost-Effectiveness Level'!$I$3:$K$3,M18:O18)</f>
        <v>50.84305520402045</v>
      </c>
      <c r="S18" s="378"/>
      <c r="T18" s="595" t="s">
        <v>566</v>
      </c>
      <c r="U18" s="409">
        <v>0</v>
      </c>
      <c r="V18" s="409">
        <v>57.727400336889396</v>
      </c>
      <c r="W18" s="332">
        <v>0</v>
      </c>
      <c r="X18" s="378"/>
      <c r="Z18" s="595" t="s">
        <v>206</v>
      </c>
      <c r="AA18" s="409">
        <v>0</v>
      </c>
      <c r="AB18" s="409">
        <v>1</v>
      </c>
      <c r="AC18" s="332">
        <v>0</v>
      </c>
      <c r="AD18" s="378"/>
      <c r="AE18"/>
      <c r="AF18" s="595" t="s">
        <v>566</v>
      </c>
      <c r="AG18" s="409">
        <v>0</v>
      </c>
      <c r="AH18" s="409">
        <v>193.44820325659742</v>
      </c>
      <c r="AI18" s="332">
        <v>0</v>
      </c>
      <c r="AJ18"/>
      <c r="AQ18" s="290">
        <v>35288.8953999414</v>
      </c>
      <c r="AR18" s="291">
        <v>40338.79285086434</v>
      </c>
      <c r="AS18" s="291">
        <v>52609.024318781136</v>
      </c>
      <c r="AT18" s="291">
        <v>60505.80134778787</v>
      </c>
      <c r="AU18" s="388">
        <v>1240</v>
      </c>
      <c r="AV18" s="389">
        <f>('Cost-Effectiveness Level'!$B$3*AQ18)+('Cost-Effectiveness Level'!$C$3*AR18)+('Cost-Effectiveness Level'!$D$3*AS18)+('Cost-Effectiveness Level'!$E$3*AT18)</f>
        <v>43404.721652505126</v>
      </c>
      <c r="AY18" s="290">
        <v>34066.451801933785</v>
      </c>
      <c r="AZ18" s="291">
        <v>39024.31878113097</v>
      </c>
      <c r="BA18" s="291">
        <v>51104.68795780838</v>
      </c>
      <c r="BB18" s="291">
        <v>59004.424260181666</v>
      </c>
      <c r="BC18" s="388">
        <v>1240</v>
      </c>
      <c r="BD18" s="389">
        <f>('Cost-Effectiveness Level'!$B$3*AY18)+('Cost-Effectiveness Level'!$C$3*AZ18)+('Cost-Effectiveness Level'!$D$3*BA18)+('Cost-Effectiveness Level'!$E$3*BB18)</f>
        <v>42051.84295341342</v>
      </c>
      <c r="BG18" s="290">
        <v>30256.841488426606</v>
      </c>
      <c r="BH18" s="291">
        <v>34734.10489305596</v>
      </c>
      <c r="BI18" s="291">
        <v>46439.14444769997</v>
      </c>
      <c r="BJ18" s="291">
        <v>54073.33723996484</v>
      </c>
      <c r="BK18" s="388">
        <v>1240</v>
      </c>
      <c r="BL18" s="389">
        <f>('Cost-Effectiveness Level'!$B$3*BG18)+('Cost-Effectiveness Level'!$C$3*BH18)+('Cost-Effectiveness Level'!$D$3*BI18)+('Cost-Effectiveness Level'!$E$3*BJ18)</f>
        <v>37731.87371813654</v>
      </c>
    </row>
    <row r="19" spans="1:64" ht="13.5" thickBot="1">
      <c r="A19" s="492" t="s">
        <v>486</v>
      </c>
      <c r="B19" s="483">
        <v>0.027</v>
      </c>
      <c r="C19" s="335">
        <v>0</v>
      </c>
      <c r="D19" s="335">
        <v>405</v>
      </c>
      <c r="E19" s="335">
        <v>0</v>
      </c>
      <c r="F19" s="349">
        <f t="shared" si="1"/>
        <v>0</v>
      </c>
      <c r="G19" s="349">
        <f t="shared" si="0"/>
        <v>10.935</v>
      </c>
      <c r="H19" s="349">
        <f t="shared" si="0"/>
        <v>0</v>
      </c>
      <c r="I19" s="336">
        <f t="shared" si="6"/>
        <v>0</v>
      </c>
      <c r="J19" s="336">
        <f t="shared" si="6"/>
        <v>1.2149999999999999</v>
      </c>
      <c r="K19" s="336">
        <f t="shared" si="6"/>
        <v>0</v>
      </c>
      <c r="L19" s="338">
        <v>0.18196839895363545</v>
      </c>
      <c r="M19" s="454">
        <f t="shared" si="3"/>
        <v>0</v>
      </c>
      <c r="N19" s="340">
        <f t="shared" si="4"/>
        <v>73.69720157622235</v>
      </c>
      <c r="O19" s="607">
        <f t="shared" si="5"/>
        <v>0</v>
      </c>
      <c r="P19" s="611">
        <f>SUMPRODUCT('Cost-Effectiveness Level'!$I$3:$K$3,M19:O19)</f>
        <v>28.004936598964495</v>
      </c>
      <c r="S19" s="378"/>
      <c r="T19" s="595" t="s">
        <v>567</v>
      </c>
      <c r="U19" s="409">
        <v>0</v>
      </c>
      <c r="V19" s="409">
        <v>57.727400336889396</v>
      </c>
      <c r="W19" s="332">
        <v>0</v>
      </c>
      <c r="X19" s="378"/>
      <c r="Z19" s="595" t="s">
        <v>184</v>
      </c>
      <c r="AA19" s="409">
        <v>0</v>
      </c>
      <c r="AB19" s="409">
        <v>0</v>
      </c>
      <c r="AC19" s="332">
        <v>0</v>
      </c>
      <c r="AD19" s="378"/>
      <c r="AE19"/>
      <c r="AF19" s="595" t="s">
        <v>567</v>
      </c>
      <c r="AG19" s="409">
        <v>0</v>
      </c>
      <c r="AH19" s="409">
        <v>193.44820325659742</v>
      </c>
      <c r="AI19" s="332">
        <v>0</v>
      </c>
      <c r="AJ19"/>
      <c r="AQ19" s="290">
        <v>34621.62320539115</v>
      </c>
      <c r="AR19" s="291">
        <v>39581.5411661295</v>
      </c>
      <c r="AS19" s="291">
        <v>51655.25930266628</v>
      </c>
      <c r="AT19" s="291">
        <v>59420.04101963083</v>
      </c>
      <c r="AU19" s="388">
        <v>1220</v>
      </c>
      <c r="AV19" s="389">
        <f>('Cost-Effectiveness Level'!$B$3*AQ19)+('Cost-Effectiveness Level'!$C$3*AR19)+('Cost-Effectiveness Level'!$D$3*AS19)+('Cost-Effectiveness Level'!$E$3*AT19)</f>
        <v>42599.912100791094</v>
      </c>
      <c r="AY19" s="290">
        <v>33402.98857310284</v>
      </c>
      <c r="AZ19" s="291">
        <v>38269.99707002637</v>
      </c>
      <c r="BA19" s="291">
        <v>50155.28860240258</v>
      </c>
      <c r="BB19" s="291">
        <v>57921.97480222679</v>
      </c>
      <c r="BC19" s="388">
        <v>1220</v>
      </c>
      <c r="BD19" s="389">
        <f>('Cost-Effectiveness Level'!$B$3*AY19)+('Cost-Effectiveness Level'!$C$3*AZ19)+('Cost-Effectiveness Level'!$D$3*BA19)+('Cost-Effectiveness Level'!$E$3*BB19)</f>
        <v>41250.517140345735</v>
      </c>
      <c r="BG19" s="290">
        <v>29616.17345443891</v>
      </c>
      <c r="BH19" s="291">
        <v>33993.58335774978</v>
      </c>
      <c r="BI19" s="291">
        <v>45507.38353354821</v>
      </c>
      <c r="BJ19" s="291">
        <v>53001.67008496924</v>
      </c>
      <c r="BK19" s="388">
        <v>1220</v>
      </c>
      <c r="BL19" s="389">
        <f>('Cost-Effectiveness Level'!$B$3*BG19)+('Cost-Effectiveness Level'!$C$3*BH19)+('Cost-Effectiveness Level'!$D$3*BI19)+('Cost-Effectiveness Level'!$E$3*BJ19)</f>
        <v>36946.95575739819</v>
      </c>
    </row>
    <row r="20" spans="1:64" ht="12.75">
      <c r="A20" s="493" t="s">
        <v>204</v>
      </c>
      <c r="B20" s="481">
        <v>0.10596804511278195</v>
      </c>
      <c r="C20" s="467">
        <v>850</v>
      </c>
      <c r="D20" s="467">
        <v>1350</v>
      </c>
      <c r="E20" s="467">
        <v>728</v>
      </c>
      <c r="F20" s="468">
        <f t="shared" si="1"/>
        <v>90.07283834586465</v>
      </c>
      <c r="G20" s="468">
        <f t="shared" si="0"/>
        <v>143.05686090225564</v>
      </c>
      <c r="H20" s="468">
        <f t="shared" si="0"/>
        <v>77.14473684210526</v>
      </c>
      <c r="I20" s="469">
        <v>0</v>
      </c>
      <c r="J20" s="469">
        <v>0</v>
      </c>
      <c r="K20" s="469">
        <v>0</v>
      </c>
      <c r="L20" s="451">
        <v>0</v>
      </c>
      <c r="M20" s="470">
        <f t="shared" si="3"/>
        <v>0</v>
      </c>
      <c r="N20" s="471">
        <f t="shared" si="4"/>
        <v>0</v>
      </c>
      <c r="O20" s="604">
        <f t="shared" si="5"/>
        <v>0</v>
      </c>
      <c r="P20" s="611">
        <f>SUMPRODUCT('Cost-Effectiveness Level'!$I$3:$K$3,M20:O20)</f>
        <v>0</v>
      </c>
      <c r="S20" s="378"/>
      <c r="T20" s="595" t="s">
        <v>205</v>
      </c>
      <c r="U20" s="409">
        <v>0</v>
      </c>
      <c r="V20" s="409">
        <v>0</v>
      </c>
      <c r="W20" s="332">
        <v>0</v>
      </c>
      <c r="X20" s="378"/>
      <c r="Z20" s="595" t="s">
        <v>185</v>
      </c>
      <c r="AA20" s="409">
        <v>0</v>
      </c>
      <c r="AB20" s="409">
        <v>0</v>
      </c>
      <c r="AC20" s="332">
        <v>0</v>
      </c>
      <c r="AD20" s="378"/>
      <c r="AE20"/>
      <c r="AF20" s="595" t="s">
        <v>205</v>
      </c>
      <c r="AG20" s="409">
        <v>0</v>
      </c>
      <c r="AH20" s="409">
        <v>2</v>
      </c>
      <c r="AI20" s="332">
        <v>0</v>
      </c>
      <c r="AJ20"/>
      <c r="AQ20" s="290">
        <v>33954.52680925872</v>
      </c>
      <c r="AR20" s="291">
        <v>38824.14298271316</v>
      </c>
      <c r="AS20" s="291">
        <v>50701.55288602403</v>
      </c>
      <c r="AT20" s="291">
        <v>58334.573688836805</v>
      </c>
      <c r="AU20" s="388">
        <v>1200</v>
      </c>
      <c r="AV20" s="389">
        <f>('Cost-Effectiveness Level'!$B$3*AQ20)+('Cost-Effectiveness Level'!$C$3*AR20)+('Cost-Effectiveness Level'!$D$3*AS20)+('Cost-Effectiveness Level'!$E$3*AT20)</f>
        <v>41795.093759156174</v>
      </c>
      <c r="AY20" s="290">
        <v>32739.96484031644</v>
      </c>
      <c r="AZ20" s="291">
        <v>37515.558159976565</v>
      </c>
      <c r="BA20" s="291">
        <v>49205.85994726048</v>
      </c>
      <c r="BB20" s="291">
        <v>56839.496044535605</v>
      </c>
      <c r="BC20" s="388">
        <v>1200</v>
      </c>
      <c r="BD20" s="389">
        <f>('Cost-Effectiveness Level'!$B$3*AY20)+('Cost-Effectiveness Level'!$C$3*AZ20)+('Cost-Effectiveness Level'!$D$3*BA20)+('Cost-Effectiveness Level'!$E$3*BB20)</f>
        <v>40449.21183709347</v>
      </c>
      <c r="BG20" s="290">
        <v>28976.062115440964</v>
      </c>
      <c r="BH20" s="291">
        <v>33253.618517433344</v>
      </c>
      <c r="BI20" s="291">
        <v>44576.91180779373</v>
      </c>
      <c r="BJ20" s="291">
        <v>51931.14561968943</v>
      </c>
      <c r="BK20" s="388">
        <v>1200</v>
      </c>
      <c r="BL20" s="389">
        <f>('Cost-Effectiveness Level'!$B$3*BG20)+('Cost-Effectiveness Level'!$C$3*BH20)+('Cost-Effectiveness Level'!$D$3*BI20)+('Cost-Effectiveness Level'!$E$3*BJ20)</f>
        <v>36162.80691473777</v>
      </c>
    </row>
    <row r="21" spans="1:64" ht="12.75">
      <c r="A21" s="321" t="s">
        <v>173</v>
      </c>
      <c r="B21" s="324">
        <v>0.055</v>
      </c>
      <c r="C21" s="328">
        <v>850</v>
      </c>
      <c r="D21" s="328">
        <v>1350</v>
      </c>
      <c r="E21" s="328">
        <v>728</v>
      </c>
      <c r="F21" s="348">
        <f t="shared" si="1"/>
        <v>46.75</v>
      </c>
      <c r="G21" s="348">
        <f t="shared" si="0"/>
        <v>74.25</v>
      </c>
      <c r="H21" s="348">
        <f t="shared" si="0"/>
        <v>40.04</v>
      </c>
      <c r="I21" s="329">
        <f aca="true" t="shared" si="7" ref="I21:K24">F20-F21</f>
        <v>43.32283834586465</v>
      </c>
      <c r="J21" s="329">
        <f t="shared" si="7"/>
        <v>68.80686090225564</v>
      </c>
      <c r="K21" s="329">
        <f t="shared" si="7"/>
        <v>37.10473684210526</v>
      </c>
      <c r="L21" s="330">
        <v>0.6</v>
      </c>
      <c r="M21" s="453">
        <f t="shared" si="3"/>
        <v>510</v>
      </c>
      <c r="N21" s="332">
        <f t="shared" si="4"/>
        <v>810</v>
      </c>
      <c r="O21" s="599">
        <f t="shared" si="5"/>
        <v>436.8</v>
      </c>
      <c r="P21" s="611">
        <f>SUMPRODUCT('Cost-Effectiveness Level'!$I$3:$K$3,M21:O21)</f>
        <v>593.256</v>
      </c>
      <c r="S21" s="378"/>
      <c r="T21" s="595" t="s">
        <v>206</v>
      </c>
      <c r="U21" s="409">
        <v>0</v>
      </c>
      <c r="V21" s="409">
        <v>0</v>
      </c>
      <c r="W21" s="332">
        <v>0</v>
      </c>
      <c r="X21" s="378"/>
      <c r="Z21" s="595" t="s">
        <v>491</v>
      </c>
      <c r="AA21" s="409">
        <v>0</v>
      </c>
      <c r="AB21" s="409">
        <v>0</v>
      </c>
      <c r="AC21" s="332">
        <v>0</v>
      </c>
      <c r="AD21" s="378"/>
      <c r="AE21"/>
      <c r="AF21" s="595" t="s">
        <v>206</v>
      </c>
      <c r="AG21" s="409">
        <v>0</v>
      </c>
      <c r="AH21" s="409">
        <v>2</v>
      </c>
      <c r="AI21" s="332">
        <v>0</v>
      </c>
      <c r="AJ21"/>
      <c r="AQ21" s="290">
        <v>33287.84060943451</v>
      </c>
      <c r="AR21" s="291">
        <v>38066.803398769414</v>
      </c>
      <c r="AS21" s="291">
        <v>49747.817169645474</v>
      </c>
      <c r="AT21" s="291">
        <v>57249.39935540581</v>
      </c>
      <c r="AU21" s="388">
        <v>1180</v>
      </c>
      <c r="AV21" s="389">
        <f>('Cost-Effectiveness Level'!$B$3*AQ21)+('Cost-Effectiveness Level'!$C$3*AR21)+('Cost-Effectiveness Level'!$D$3*AS21)+('Cost-Effectiveness Level'!$E$3*AT21)</f>
        <v>40990.39408145327</v>
      </c>
      <c r="AY21" s="290">
        <v>32077.468502783475</v>
      </c>
      <c r="AZ21" s="291">
        <v>36761.002050981544</v>
      </c>
      <c r="BA21" s="291">
        <v>48256.548491063586</v>
      </c>
      <c r="BB21" s="291">
        <v>55757.01728684443</v>
      </c>
      <c r="BC21" s="388">
        <v>1180</v>
      </c>
      <c r="BD21" s="389">
        <f>('Cost-Effectiveness Level'!$B$3*AY21)+('Cost-Effectiveness Level'!$C$3*AZ21)+('Cost-Effectiveness Level'!$D$3*BA21)+('Cost-Effectiveness Level'!$E$3*BB21)</f>
        <v>39647.98271315559</v>
      </c>
      <c r="BG21" s="290">
        <v>28336.771169059477</v>
      </c>
      <c r="BH21" s="291">
        <v>32514.913565777908</v>
      </c>
      <c r="BI21" s="291">
        <v>43647.55347201876</v>
      </c>
      <c r="BJ21" s="291">
        <v>50861.58804570759</v>
      </c>
      <c r="BK21" s="388">
        <v>1180</v>
      </c>
      <c r="BL21" s="389">
        <f>('Cost-Effectiveness Level'!$B$3*BG21)+('Cost-Effectiveness Level'!$C$3*BH21)+('Cost-Effectiveness Level'!$D$3*BI21)+('Cost-Effectiveness Level'!$E$3*BJ21)</f>
        <v>35379.77878699092</v>
      </c>
    </row>
    <row r="22" spans="1:64" ht="12.75">
      <c r="A22" s="320" t="s">
        <v>174</v>
      </c>
      <c r="B22" s="323">
        <v>0.041</v>
      </c>
      <c r="C22" s="342">
        <v>850</v>
      </c>
      <c r="D22" s="342">
        <v>1350</v>
      </c>
      <c r="E22" s="342">
        <v>728</v>
      </c>
      <c r="F22" s="347">
        <f t="shared" si="1"/>
        <v>34.85</v>
      </c>
      <c r="G22" s="347">
        <f aca="true" t="shared" si="8" ref="G22:G36">$B22*D22</f>
        <v>55.35</v>
      </c>
      <c r="H22" s="347">
        <f aca="true" t="shared" si="9" ref="H22:H36">$B22*E22</f>
        <v>29.848000000000003</v>
      </c>
      <c r="I22" s="343">
        <f t="shared" si="7"/>
        <v>11.899999999999999</v>
      </c>
      <c r="J22" s="343">
        <f t="shared" si="7"/>
        <v>18.9</v>
      </c>
      <c r="K22" s="343">
        <f t="shared" si="7"/>
        <v>10.191999999999997</v>
      </c>
      <c r="L22" s="344">
        <f>'Summary Table'!H8-L21</f>
        <v>0.19862486244447952</v>
      </c>
      <c r="M22" s="452">
        <f t="shared" si="3"/>
        <v>168.8311330778076</v>
      </c>
      <c r="N22" s="345">
        <f t="shared" si="4"/>
        <v>268.14356430004733</v>
      </c>
      <c r="O22" s="606">
        <f t="shared" si="5"/>
        <v>144.59889985958108</v>
      </c>
      <c r="P22" s="611">
        <f>SUMPRODUCT('Cost-Effectiveness Level'!$I$3:$K$3,M22:O22)</f>
        <v>196.39231899060354</v>
      </c>
      <c r="S22" s="378"/>
      <c r="T22" s="595" t="s">
        <v>184</v>
      </c>
      <c r="U22" s="409">
        <v>0</v>
      </c>
      <c r="V22" s="409">
        <v>0</v>
      </c>
      <c r="W22" s="332">
        <v>0</v>
      </c>
      <c r="X22" s="378"/>
      <c r="Z22" s="595">
        <v>0</v>
      </c>
      <c r="AA22" s="409">
        <v>0</v>
      </c>
      <c r="AB22" s="409">
        <v>0</v>
      </c>
      <c r="AC22" s="332">
        <v>0</v>
      </c>
      <c r="AD22" s="378"/>
      <c r="AE22"/>
      <c r="AF22" s="595" t="s">
        <v>491</v>
      </c>
      <c r="AG22" s="409">
        <v>0</v>
      </c>
      <c r="AH22" s="409">
        <v>0</v>
      </c>
      <c r="AI22" s="332">
        <v>0</v>
      </c>
      <c r="AJ22"/>
      <c r="AQ22" s="290">
        <v>32621.388807500734</v>
      </c>
      <c r="AR22" s="291">
        <v>37309.8447113976</v>
      </c>
      <c r="AS22" s="291">
        <v>48794.257251684736</v>
      </c>
      <c r="AT22" s="291">
        <v>56164.342220920014</v>
      </c>
      <c r="AU22" s="388">
        <v>1160</v>
      </c>
      <c r="AV22" s="389">
        <f>('Cost-Effectiveness Level'!$B$3*AQ22)+('Cost-Effectiveness Level'!$C$3*AR22)+('Cost-Effectiveness Level'!$D$3*AS22)+('Cost-Effectiveness Level'!$E$3*AT22)</f>
        <v>40185.98154116613</v>
      </c>
      <c r="AY22" s="290">
        <v>31415.29446234984</v>
      </c>
      <c r="AZ22" s="291">
        <v>36006.44594198652</v>
      </c>
      <c r="BA22" s="291">
        <v>47307.20773513039</v>
      </c>
      <c r="BB22" s="291">
        <v>54674.65572809845</v>
      </c>
      <c r="BC22" s="388">
        <v>1160</v>
      </c>
      <c r="BD22" s="389">
        <f>('Cost-Effectiveness Level'!$B$3*AY22)+('Cost-Effectiveness Level'!$C$3*AZ22)+('Cost-Effectiveness Level'!$D$3*BA22)+('Cost-Effectiveness Level'!$E$3*BB22)</f>
        <v>38846.81658365075</v>
      </c>
      <c r="BG22" s="290">
        <v>27698.7694110753</v>
      </c>
      <c r="BH22" s="291">
        <v>31777.38060357457</v>
      </c>
      <c r="BI22" s="291">
        <v>42719.220627014365</v>
      </c>
      <c r="BJ22" s="291">
        <v>49791.88397304425</v>
      </c>
      <c r="BK22" s="388">
        <v>1160</v>
      </c>
      <c r="BL22" s="389">
        <f>('Cost-Effectiveness Level'!$B$3*BG22)+('Cost-Effectiveness Level'!$C$3*BH22)+('Cost-Effectiveness Level'!$D$3*BI22)+('Cost-Effectiveness Level'!$E$3*BJ22)</f>
        <v>34597.843539408146</v>
      </c>
    </row>
    <row r="23" spans="1:64" ht="12.75">
      <c r="A23" s="321" t="s">
        <v>176</v>
      </c>
      <c r="B23" s="324">
        <v>0.029</v>
      </c>
      <c r="C23" s="328">
        <v>850</v>
      </c>
      <c r="D23" s="328">
        <v>1350</v>
      </c>
      <c r="E23" s="328">
        <v>728</v>
      </c>
      <c r="F23" s="348">
        <f t="shared" si="1"/>
        <v>24.650000000000002</v>
      </c>
      <c r="G23" s="348">
        <f t="shared" si="8"/>
        <v>39.15</v>
      </c>
      <c r="H23" s="348">
        <f t="shared" si="9"/>
        <v>21.112000000000002</v>
      </c>
      <c r="I23" s="329">
        <f t="shared" si="7"/>
        <v>10.2</v>
      </c>
      <c r="J23" s="329">
        <f t="shared" si="7"/>
        <v>16.200000000000003</v>
      </c>
      <c r="K23" s="329">
        <f t="shared" si="7"/>
        <v>8.736</v>
      </c>
      <c r="L23" s="330">
        <v>0.25</v>
      </c>
      <c r="M23" s="453">
        <f t="shared" si="3"/>
        <v>212.5</v>
      </c>
      <c r="N23" s="332">
        <f t="shared" si="4"/>
        <v>337.5</v>
      </c>
      <c r="O23" s="599">
        <f t="shared" si="5"/>
        <v>182</v>
      </c>
      <c r="P23" s="611">
        <f>SUMPRODUCT('Cost-Effectiveness Level'!$I$3:$K$3,M23:O23)</f>
        <v>247.19</v>
      </c>
      <c r="S23" s="378"/>
      <c r="T23" s="595" t="s">
        <v>185</v>
      </c>
      <c r="U23" s="409">
        <v>0</v>
      </c>
      <c r="V23" s="409">
        <v>0</v>
      </c>
      <c r="W23" s="332">
        <v>0</v>
      </c>
      <c r="X23" s="378"/>
      <c r="Z23" s="595" t="s">
        <v>483</v>
      </c>
      <c r="AA23" s="409">
        <v>6.6821130534398865</v>
      </c>
      <c r="AB23" s="409">
        <v>52.245</v>
      </c>
      <c r="AC23" s="332">
        <v>349.1069964769669</v>
      </c>
      <c r="AD23" s="378"/>
      <c r="AE23"/>
      <c r="AF23" s="595">
        <v>0</v>
      </c>
      <c r="AG23" s="409">
        <v>0</v>
      </c>
      <c r="AH23" s="409">
        <v>0</v>
      </c>
      <c r="AI23" s="332">
        <v>0</v>
      </c>
      <c r="AJ23"/>
      <c r="AQ23" s="290">
        <v>31954.995605039556</v>
      </c>
      <c r="AR23" s="291">
        <v>36553.061822443604</v>
      </c>
      <c r="AS23" s="291">
        <v>47840.580134778786</v>
      </c>
      <c r="AT23" s="291">
        <v>55079.57808379725</v>
      </c>
      <c r="AU23" s="388">
        <v>1140</v>
      </c>
      <c r="AV23" s="389">
        <f>('Cost-Effectiveness Level'!$B$3*AQ23)+('Cost-Effectiveness Level'!$C$3*AR23)+('Cost-Effectiveness Level'!$D$3*AS23)+('Cost-Effectiveness Level'!$E$3*AT23)</f>
        <v>39381.65397011427</v>
      </c>
      <c r="AY23" s="290">
        <v>30753.735716378553</v>
      </c>
      <c r="AZ23" s="291">
        <v>35252.41722824495</v>
      </c>
      <c r="BA23" s="291">
        <v>46357.72048051568</v>
      </c>
      <c r="BB23" s="291">
        <v>53592.645766188114</v>
      </c>
      <c r="BC23" s="388">
        <v>1140</v>
      </c>
      <c r="BD23" s="389">
        <f>('Cost-Effectiveness Level'!$B$3*AY23)+('Cost-Effectiveness Level'!$C$3*AZ23)+('Cost-Effectiveness Level'!$D$3*BA23)+('Cost-Effectiveness Level'!$E$3*BB23)</f>
        <v>38046.01816583651</v>
      </c>
      <c r="BG23" s="290">
        <v>27061.7052446528</v>
      </c>
      <c r="BH23" s="291">
        <v>31041.136829768533</v>
      </c>
      <c r="BI23" s="291">
        <v>41791.00498095518</v>
      </c>
      <c r="BJ23" s="291">
        <v>48722.12130090829</v>
      </c>
      <c r="BK23" s="388">
        <v>1140</v>
      </c>
      <c r="BL23" s="389">
        <f>('Cost-Effectiveness Level'!$B$3*BG23)+('Cost-Effectiveness Level'!$C$3*BH23)+('Cost-Effectiveness Level'!$D$3*BI23)+('Cost-Effectiveness Level'!$E$3*BJ23)</f>
        <v>33816.76677409904</v>
      </c>
    </row>
    <row r="24" spans="1:64" ht="13.5" thickBot="1">
      <c r="A24" s="602" t="s">
        <v>179</v>
      </c>
      <c r="B24" s="615">
        <v>0.025</v>
      </c>
      <c r="C24" s="498">
        <v>850</v>
      </c>
      <c r="D24" s="498">
        <v>1350</v>
      </c>
      <c r="E24" s="498">
        <v>728</v>
      </c>
      <c r="F24" s="499">
        <f t="shared" si="1"/>
        <v>21.25</v>
      </c>
      <c r="G24" s="499">
        <f t="shared" si="8"/>
        <v>33.75</v>
      </c>
      <c r="H24" s="499">
        <f t="shared" si="9"/>
        <v>18.2</v>
      </c>
      <c r="I24" s="418">
        <f t="shared" si="7"/>
        <v>3.400000000000002</v>
      </c>
      <c r="J24" s="418">
        <f t="shared" si="7"/>
        <v>5.399999999999999</v>
      </c>
      <c r="K24" s="418">
        <f t="shared" si="7"/>
        <v>2.9120000000000026</v>
      </c>
      <c r="L24" s="500">
        <v>0.13</v>
      </c>
      <c r="M24" s="501">
        <f>C24*$L24</f>
        <v>110.5</v>
      </c>
      <c r="N24" s="502">
        <f>D24*$L24</f>
        <v>175.5</v>
      </c>
      <c r="O24" s="608">
        <f>E24*$L24</f>
        <v>94.64</v>
      </c>
      <c r="P24" s="611">
        <f>SUMPRODUCT('Cost-Effectiveness Level'!$I$3:$K$3,M24:O24)</f>
        <v>128.53879999999998</v>
      </c>
      <c r="S24" s="378"/>
      <c r="T24" s="595" t="s">
        <v>491</v>
      </c>
      <c r="U24" s="409">
        <v>0</v>
      </c>
      <c r="V24" s="409">
        <v>0</v>
      </c>
      <c r="W24" s="332">
        <v>0</v>
      </c>
      <c r="X24" s="378"/>
      <c r="Z24" s="595" t="s">
        <v>172</v>
      </c>
      <c r="AA24" s="409">
        <v>8.368860037803353</v>
      </c>
      <c r="AB24" s="409">
        <v>97.335</v>
      </c>
      <c r="AC24" s="332">
        <v>814.5829917795894</v>
      </c>
      <c r="AD24" s="378"/>
      <c r="AE24"/>
      <c r="AF24" s="595" t="s">
        <v>184</v>
      </c>
      <c r="AG24" s="409">
        <v>1.7303385055878824</v>
      </c>
      <c r="AH24" s="409">
        <v>173.23199999999997</v>
      </c>
      <c r="AI24" s="332">
        <v>299.75</v>
      </c>
      <c r="AJ24"/>
      <c r="AQ24" s="290">
        <v>31288.690301787286</v>
      </c>
      <c r="AR24" s="291">
        <v>35796.220334016994</v>
      </c>
      <c r="AS24" s="291">
        <v>46886.90301787284</v>
      </c>
      <c r="AT24" s="291">
        <v>53995.0190448286</v>
      </c>
      <c r="AU24" s="388">
        <v>1120</v>
      </c>
      <c r="AV24" s="389">
        <f>('Cost-Effectiveness Level'!$B$3*AQ24)+('Cost-Effectiveness Level'!$C$3*AR24)+('Cost-Effectiveness Level'!$D$3*AS24)+('Cost-Effectiveness Level'!$E$3*AT24)</f>
        <v>38577.3249340756</v>
      </c>
      <c r="AY24" s="290">
        <v>30092.616466451804</v>
      </c>
      <c r="AZ24" s="291">
        <v>34498.828010547906</v>
      </c>
      <c r="BA24" s="291">
        <v>45408.20392616467</v>
      </c>
      <c r="BB24" s="291">
        <v>52511.63199531205</v>
      </c>
      <c r="BC24" s="388">
        <v>1120</v>
      </c>
      <c r="BD24" s="389">
        <f>('Cost-Effectiveness Level'!$B$3*AY24)+('Cost-Effectiveness Level'!$C$3*AZ24)+('Cost-Effectiveness Level'!$D$3*BA24)+('Cost-Effectiveness Level'!$E$3*BB24)</f>
        <v>37245.56987987108</v>
      </c>
      <c r="BG24" s="290">
        <v>26424.875476120716</v>
      </c>
      <c r="BH24" s="291">
        <v>30306.68033987694</v>
      </c>
      <c r="BI24" s="291">
        <v>40862.61353647817</v>
      </c>
      <c r="BJ24" s="291">
        <v>47653.17902138881</v>
      </c>
      <c r="BK24" s="388">
        <v>1120</v>
      </c>
      <c r="BL24" s="389">
        <f>('Cost-Effectiveness Level'!$B$3*BG24)+('Cost-Effectiveness Level'!$C$3*BH24)+('Cost-Effectiveness Level'!$D$3*BI24)+('Cost-Effectiveness Level'!$E$3*BJ24)</f>
        <v>33036.627600351596</v>
      </c>
    </row>
    <row r="25" spans="1:64" ht="12.75">
      <c r="A25" s="493" t="s">
        <v>487</v>
      </c>
      <c r="B25" s="637">
        <f>1/((1/1.2)+0.08)</f>
        <v>1.094890510948905</v>
      </c>
      <c r="C25" s="467">
        <v>94</v>
      </c>
      <c r="D25" s="467">
        <v>149</v>
      </c>
      <c r="E25" s="467">
        <v>315</v>
      </c>
      <c r="F25" s="468">
        <f t="shared" si="1"/>
        <v>102.91970802919708</v>
      </c>
      <c r="G25" s="468">
        <f t="shared" si="8"/>
        <v>163.13868613138686</v>
      </c>
      <c r="H25" s="468">
        <f t="shared" si="9"/>
        <v>344.8905109489051</v>
      </c>
      <c r="I25" s="469">
        <v>0</v>
      </c>
      <c r="J25" s="469">
        <v>0</v>
      </c>
      <c r="K25" s="469">
        <v>0</v>
      </c>
      <c r="L25" s="451">
        <v>0</v>
      </c>
      <c r="M25" s="470">
        <f t="shared" si="3"/>
        <v>0</v>
      </c>
      <c r="N25" s="471">
        <f t="shared" si="4"/>
        <v>0</v>
      </c>
      <c r="O25" s="472">
        <f t="shared" si="5"/>
        <v>0</v>
      </c>
      <c r="P25" s="611">
        <f>SUMPRODUCT('Cost-Effectiveness Level'!$I$3:$K$3,M25:O25)</f>
        <v>0</v>
      </c>
      <c r="S25" s="378"/>
      <c r="T25" s="595">
        <v>0</v>
      </c>
      <c r="U25" s="409">
        <v>0</v>
      </c>
      <c r="V25" s="409">
        <v>0</v>
      </c>
      <c r="W25" s="332">
        <v>0</v>
      </c>
      <c r="X25" s="378"/>
      <c r="Z25" s="595" t="s">
        <v>173</v>
      </c>
      <c r="AA25" s="409">
        <v>11.772081873501753</v>
      </c>
      <c r="AB25" s="409">
        <v>68.80686090225564</v>
      </c>
      <c r="AC25" s="332">
        <v>810</v>
      </c>
      <c r="AD25" s="378"/>
      <c r="AE25"/>
      <c r="AF25" s="595" t="s">
        <v>172</v>
      </c>
      <c r="AG25" s="409">
        <v>8.368860037803353</v>
      </c>
      <c r="AH25" s="409">
        <v>74.98400000000001</v>
      </c>
      <c r="AI25" s="332">
        <v>627.5306010746467</v>
      </c>
      <c r="AJ25"/>
      <c r="AQ25" s="290">
        <v>30622.502197480226</v>
      </c>
      <c r="AR25" s="291">
        <v>35039.496044535605</v>
      </c>
      <c r="AS25" s="291">
        <v>45933.46029885731</v>
      </c>
      <c r="AT25" s="291">
        <v>52910.84090243188</v>
      </c>
      <c r="AU25" s="388">
        <v>1100</v>
      </c>
      <c r="AV25" s="389">
        <f>('Cost-Effectiveness Level'!$B$3*AQ25)+('Cost-Effectiveness Level'!$C$3*AR25)+('Cost-Effectiveness Level'!$D$3*AS25)+('Cost-Effectiveness Level'!$E$3*AT25)</f>
        <v>37773.15558159977</v>
      </c>
      <c r="AY25" s="290">
        <v>29431.966012305893</v>
      </c>
      <c r="AZ25" s="291">
        <v>33745.76618810431</v>
      </c>
      <c r="BA25" s="291">
        <v>44458.540873132144</v>
      </c>
      <c r="BB25" s="291">
        <v>51431.93671256959</v>
      </c>
      <c r="BC25" s="388">
        <v>1100</v>
      </c>
      <c r="BD25" s="389">
        <f>('Cost-Effectiveness Level'!$B$3*AY25)+('Cost-Effectiveness Level'!$C$3*AZ25)+('Cost-Effectiveness Level'!$D$3*BA25)+('Cost-Effectiveness Level'!$E$3*BB25)</f>
        <v>36445.50835042485</v>
      </c>
      <c r="BG25" s="290">
        <v>25788.162906533842</v>
      </c>
      <c r="BH25" s="291">
        <v>29572.370348666864</v>
      </c>
      <c r="BI25" s="291">
        <v>39935.01318488134</v>
      </c>
      <c r="BJ25" s="291">
        <v>46585.848227365954</v>
      </c>
      <c r="BK25" s="388">
        <v>1100</v>
      </c>
      <c r="BL25" s="389">
        <f>('Cost-Effectiveness Level'!$B$3*BG25)+('Cost-Effectiveness Level'!$C$3*BH25)+('Cost-Effectiveness Level'!$D$3*BI25)+('Cost-Effectiveness Level'!$E$3*BJ25)</f>
        <v>32256.86346322883</v>
      </c>
    </row>
    <row r="26" spans="1:64" ht="12.75">
      <c r="A26" s="320" t="str">
        <f>"BASE CASE WINDOW - CLASS "&amp;(ROUND((1/((1/B26)-0.08)*100),0))</f>
        <v>BASE CASE WINDOW - CLASS 54</v>
      </c>
      <c r="B26" s="485">
        <f>1/((1/0.535)+0.08)</f>
        <v>0.513041810510165</v>
      </c>
      <c r="C26" s="342">
        <v>94</v>
      </c>
      <c r="D26" s="342">
        <v>149</v>
      </c>
      <c r="E26" s="342">
        <v>315</v>
      </c>
      <c r="F26" s="347">
        <f t="shared" si="1"/>
        <v>48.225930187955505</v>
      </c>
      <c r="G26" s="347">
        <f t="shared" si="8"/>
        <v>76.44322976601458</v>
      </c>
      <c r="H26" s="347">
        <f t="shared" si="9"/>
        <v>161.60817031070195</v>
      </c>
      <c r="I26" s="343">
        <f>F25-F26</f>
        <v>54.69377784124158</v>
      </c>
      <c r="J26" s="343">
        <f>G25-G26</f>
        <v>86.69545636537228</v>
      </c>
      <c r="K26" s="343">
        <f>H25-H26</f>
        <v>183.28234063820315</v>
      </c>
      <c r="L26" s="344">
        <v>0</v>
      </c>
      <c r="M26" s="452">
        <f t="shared" si="3"/>
        <v>0</v>
      </c>
      <c r="N26" s="345">
        <f t="shared" si="4"/>
        <v>0</v>
      </c>
      <c r="O26" s="346">
        <f t="shared" si="5"/>
        <v>0</v>
      </c>
      <c r="P26" s="611">
        <f>SUMPRODUCT('Cost-Effectiveness Level'!$I$3:$K$3,M26:O26)</f>
        <v>0</v>
      </c>
      <c r="S26" s="378"/>
      <c r="T26" s="595" t="s">
        <v>172</v>
      </c>
      <c r="U26" s="409">
        <v>8.368860037803353</v>
      </c>
      <c r="V26" s="409">
        <v>87.55</v>
      </c>
      <c r="W26" s="332">
        <v>732.6936963096837</v>
      </c>
      <c r="X26" s="378"/>
      <c r="Z26" s="595" t="s">
        <v>171</v>
      </c>
      <c r="AA26" s="409">
        <v>13.37636849019789</v>
      </c>
      <c r="AB26" s="409">
        <v>61.03571472629143</v>
      </c>
      <c r="AC26" s="332">
        <v>816.436211241472</v>
      </c>
      <c r="AD26" s="378"/>
      <c r="AE26"/>
      <c r="AF26" s="595" t="s">
        <v>173</v>
      </c>
      <c r="AG26" s="409">
        <v>11.772081873501753</v>
      </c>
      <c r="AH26" s="409">
        <v>37.10473684210526</v>
      </c>
      <c r="AI26" s="332">
        <v>436.8</v>
      </c>
      <c r="AJ26"/>
      <c r="AQ26" s="290">
        <v>29956.782888954</v>
      </c>
      <c r="AR26" s="291">
        <v>34283.006152944625</v>
      </c>
      <c r="AS26" s="291">
        <v>44980.42777615002</v>
      </c>
      <c r="AT26" s="291">
        <v>51826.838558452975</v>
      </c>
      <c r="AU26" s="388">
        <v>1080</v>
      </c>
      <c r="AV26" s="389">
        <f>('Cost-Effectiveness Level'!$B$3*AQ26)+('Cost-Effectiveness Level'!$C$3*AR26)+('Cost-Effectiveness Level'!$D$3*AS26)+('Cost-Effectiveness Level'!$E$3*AT26)</f>
        <v>36969.30852622327</v>
      </c>
      <c r="AY26" s="290">
        <v>28772.135950776446</v>
      </c>
      <c r="AZ26" s="291">
        <v>32992.90946381483</v>
      </c>
      <c r="BA26" s="291">
        <v>43508.70202168181</v>
      </c>
      <c r="BB26" s="291">
        <v>50352.036331673015</v>
      </c>
      <c r="BC26" s="388">
        <v>1080</v>
      </c>
      <c r="BD26" s="389">
        <f>('Cost-Effectiveness Level'!$B$3*AY26)+('Cost-Effectiveness Level'!$C$3*AZ26)+('Cost-Effectiveness Level'!$D$3*BA26)+('Cost-Effectiveness Level'!$E$3*BB26)</f>
        <v>35645.65924406681</v>
      </c>
      <c r="BG26" s="290">
        <v>25151.626135364782</v>
      </c>
      <c r="BH26" s="291">
        <v>28839.818341634927</v>
      </c>
      <c r="BI26" s="291">
        <v>39008.37972458248</v>
      </c>
      <c r="BJ26" s="291">
        <v>45518.75183123352</v>
      </c>
      <c r="BK26" s="388">
        <v>1080</v>
      </c>
      <c r="BL26" s="389">
        <f>('Cost-Effectiveness Level'!$B$3*BG26)+('Cost-Effectiveness Level'!$C$3*BH26)+('Cost-Effectiveness Level'!$D$3*BI26)+('Cost-Effectiveness Level'!$E$3*BJ26)</f>
        <v>31478.266920597718</v>
      </c>
    </row>
    <row r="27" spans="1:64" ht="12.75">
      <c r="A27" s="617" t="str">
        <f>"RETROFITTED AVERAGE WINDOW - CLASS "&amp;(ROUND((1/((1/B27)-0.08)*100),0))</f>
        <v>RETROFITTED AVERAGE WINDOW - CLASS 50</v>
      </c>
      <c r="B27" s="552">
        <f>1/((1/0.5)+0.08)</f>
        <v>0.4807692307692307</v>
      </c>
      <c r="C27" s="328">
        <v>94</v>
      </c>
      <c r="D27" s="328">
        <v>149</v>
      </c>
      <c r="E27" s="328">
        <v>315</v>
      </c>
      <c r="F27" s="348">
        <f t="shared" si="1"/>
        <v>45.192307692307686</v>
      </c>
      <c r="G27" s="348">
        <f t="shared" si="8"/>
        <v>71.63461538461537</v>
      </c>
      <c r="H27" s="348">
        <f t="shared" si="9"/>
        <v>151.44230769230768</v>
      </c>
      <c r="I27" s="329">
        <f>F25-F27</f>
        <v>57.727400336889396</v>
      </c>
      <c r="J27" s="329">
        <f>G25-G27</f>
        <v>91.50407074677149</v>
      </c>
      <c r="K27" s="329">
        <f>H25-H27</f>
        <v>193.44820325659742</v>
      </c>
      <c r="L27" s="330">
        <v>0</v>
      </c>
      <c r="M27" s="453">
        <f t="shared" si="3"/>
        <v>0</v>
      </c>
      <c r="N27" s="332">
        <f t="shared" si="4"/>
        <v>0</v>
      </c>
      <c r="O27" s="303">
        <f t="shared" si="5"/>
        <v>0</v>
      </c>
      <c r="P27" s="611">
        <f>SUMPRODUCT('Cost-Effectiveness Level'!$I$3:$K$3,M27:O27)</f>
        <v>0</v>
      </c>
      <c r="S27" s="378"/>
      <c r="T27" s="595" t="s">
        <v>173</v>
      </c>
      <c r="U27" s="409">
        <v>11.772081873501755</v>
      </c>
      <c r="V27" s="409">
        <v>43.32283834586465</v>
      </c>
      <c r="W27" s="332">
        <v>510</v>
      </c>
      <c r="X27" s="378"/>
      <c r="Z27" s="595" t="s">
        <v>174</v>
      </c>
      <c r="AA27" s="409">
        <v>14.18749017460568</v>
      </c>
      <c r="AB27" s="409">
        <v>18.9</v>
      </c>
      <c r="AC27" s="332">
        <v>268.14356430004733</v>
      </c>
      <c r="AD27" s="378"/>
      <c r="AE27"/>
      <c r="AF27" s="595" t="s">
        <v>171</v>
      </c>
      <c r="AG27" s="409">
        <v>13.376368490197889</v>
      </c>
      <c r="AH27" s="409">
        <v>91.82524441017733</v>
      </c>
      <c r="AI27" s="332">
        <v>1228.2883059330159</v>
      </c>
      <c r="AJ27"/>
      <c r="AQ27" s="290">
        <v>29291.297978318195</v>
      </c>
      <c r="AR27" s="291">
        <v>33526.72135950776</v>
      </c>
      <c r="AS27" s="291">
        <v>44028.27424553179</v>
      </c>
      <c r="AT27" s="291">
        <v>50743.12921183709</v>
      </c>
      <c r="AU27" s="388">
        <v>1060</v>
      </c>
      <c r="AV27" s="389">
        <f>('Cost-Effectiveness Level'!$B$3*AQ27)+('Cost-Effectiveness Level'!$C$3*AR27)+('Cost-Effectiveness Level'!$D$3*AS27)+('Cost-Effectiveness Level'!$E$3*AT27)</f>
        <v>36165.84529739233</v>
      </c>
      <c r="AY27" s="290">
        <v>28112.657486082626</v>
      </c>
      <c r="AZ27" s="291">
        <v>32240.19923820686</v>
      </c>
      <c r="BA27" s="291">
        <v>42559.33196601231</v>
      </c>
      <c r="BB27" s="291">
        <v>49271.872253149726</v>
      </c>
      <c r="BC27" s="388">
        <v>1060</v>
      </c>
      <c r="BD27" s="389">
        <f>('Cost-Effectiveness Level'!$B$3*AY27)+('Cost-Effectiveness Level'!$C$3*AZ27)+('Cost-Effectiveness Level'!$D$3*BA27)+('Cost-Effectiveness Level'!$E$3*BB27)</f>
        <v>34846.05772048052</v>
      </c>
      <c r="BG27" s="290">
        <v>24517.198945209493</v>
      </c>
      <c r="BH27" s="291">
        <v>28108.76062115441</v>
      </c>
      <c r="BI27" s="291">
        <v>38084.47113975974</v>
      </c>
      <c r="BJ27" s="291">
        <v>44451.56753589218</v>
      </c>
      <c r="BK27" s="388">
        <v>1060</v>
      </c>
      <c r="BL27" s="389">
        <f>('Cost-Effectiveness Level'!$B$3*BG27)+('Cost-Effectiveness Level'!$C$3*BH27)+('Cost-Effectiveness Level'!$D$3*BI27)+('Cost-Effectiveness Level'!$E$3*BJ27)</f>
        <v>30701.51626135365</v>
      </c>
    </row>
    <row r="28" spans="1:64" ht="12.75">
      <c r="A28" s="616" t="s">
        <v>488</v>
      </c>
      <c r="B28" s="600">
        <v>0.34</v>
      </c>
      <c r="C28" s="328">
        <v>94</v>
      </c>
      <c r="D28" s="328">
        <v>149</v>
      </c>
      <c r="E28" s="328">
        <v>315</v>
      </c>
      <c r="F28" s="348">
        <f t="shared" si="1"/>
        <v>31.96</v>
      </c>
      <c r="G28" s="348">
        <f t="shared" si="8"/>
        <v>50.660000000000004</v>
      </c>
      <c r="H28" s="348">
        <f t="shared" si="9"/>
        <v>107.10000000000001</v>
      </c>
      <c r="I28" s="329">
        <f>F$25-F28</f>
        <v>70.95970802919709</v>
      </c>
      <c r="J28" s="329">
        <f>G$25-G28</f>
        <v>112.47868613138687</v>
      </c>
      <c r="K28" s="329">
        <f>H$25-H28</f>
        <v>237.79051094890508</v>
      </c>
      <c r="L28" s="330">
        <f>'Summary Table'!H13</f>
        <v>16.01236479744562</v>
      </c>
      <c r="M28" s="453">
        <f>C28*$L28</f>
        <v>1505.1622909598884</v>
      </c>
      <c r="N28" s="332">
        <f>D28*$L28</f>
        <v>2385.8423548193973</v>
      </c>
      <c r="O28" s="303">
        <f>E28*$L28</f>
        <v>5043.894911195371</v>
      </c>
      <c r="P28" s="611">
        <f>SUMPRODUCT('Cost-Effectiveness Level'!$I$3:$K$3,M28:O28)</f>
        <v>3326.088415725404</v>
      </c>
      <c r="Q28" s="390"/>
      <c r="R28" s="390"/>
      <c r="S28" s="378"/>
      <c r="T28" s="595" t="s">
        <v>171</v>
      </c>
      <c r="U28" s="409">
        <v>13.376368490197887</v>
      </c>
      <c r="V28" s="409">
        <v>48.90101773323053</v>
      </c>
      <c r="W28" s="332">
        <v>654.118032745393</v>
      </c>
      <c r="X28" s="378"/>
      <c r="Z28" s="595" t="s">
        <v>177</v>
      </c>
      <c r="AA28" s="409">
        <v>15.73163006405534</v>
      </c>
      <c r="AB28" s="409">
        <v>19.845</v>
      </c>
      <c r="AC28" s="332">
        <v>312.1941986211782</v>
      </c>
      <c r="AD28" s="378"/>
      <c r="AE28"/>
      <c r="AF28" s="595" t="s">
        <v>174</v>
      </c>
      <c r="AG28" s="409">
        <v>14.187490174605683</v>
      </c>
      <c r="AH28" s="409">
        <v>10.191999999999997</v>
      </c>
      <c r="AI28" s="332">
        <v>144.59889985958108</v>
      </c>
      <c r="AJ28"/>
      <c r="AQ28" s="290">
        <v>28625.871667155</v>
      </c>
      <c r="AR28" s="291">
        <v>32770.81746264284</v>
      </c>
      <c r="AS28" s="291">
        <v>43076.26721359508</v>
      </c>
      <c r="AT28" s="291">
        <v>49659.390565484915</v>
      </c>
      <c r="AU28" s="388">
        <v>1040</v>
      </c>
      <c r="AV28" s="389">
        <f>('Cost-Effectiveness Level'!$B$3*AQ28)+('Cost-Effectiveness Level'!$C$3*AR28)+('Cost-Effectiveness Level'!$D$3*AS28)+('Cost-Effectiveness Level'!$E$3*AT28)</f>
        <v>35362.619396425434</v>
      </c>
      <c r="AY28" s="290">
        <v>27453.23762086141</v>
      </c>
      <c r="AZ28" s="291">
        <v>31487.40111338998</v>
      </c>
      <c r="BA28" s="291">
        <v>41610.51860533256</v>
      </c>
      <c r="BB28" s="291">
        <v>48191.53237620862</v>
      </c>
      <c r="BC28" s="388">
        <v>1040</v>
      </c>
      <c r="BD28" s="389">
        <f>('Cost-Effectiveness Level'!$B$3*AY28)+('Cost-Effectiveness Level'!$C$3*AZ28)+('Cost-Effectiveness Level'!$D$3*BA28)+('Cost-Effectiveness Level'!$E$3*BB28)</f>
        <v>34046.55435101084</v>
      </c>
      <c r="BG28" s="290">
        <v>23883.09405215353</v>
      </c>
      <c r="BH28" s="291">
        <v>27377.585701728683</v>
      </c>
      <c r="BI28" s="291">
        <v>37161.29504834457</v>
      </c>
      <c r="BJ28" s="291">
        <v>43385.64312921184</v>
      </c>
      <c r="BK28" s="388">
        <v>1040</v>
      </c>
      <c r="BL28" s="389">
        <f>('Cost-Effectiveness Level'!$B$3*BG28)+('Cost-Effectiveness Level'!$C$3*BH28)+('Cost-Effectiveness Level'!$D$3*BI28)+('Cost-Effectiveness Level'!$E$3*BJ28)</f>
        <v>29925.017579841784</v>
      </c>
    </row>
    <row r="29" spans="1:64" ht="13.5" thickBot="1">
      <c r="A29" s="494" t="s">
        <v>489</v>
      </c>
      <c r="B29" s="601">
        <v>0.245</v>
      </c>
      <c r="C29" s="335">
        <v>94</v>
      </c>
      <c r="D29" s="335">
        <v>149</v>
      </c>
      <c r="E29" s="335">
        <v>315</v>
      </c>
      <c r="F29" s="349">
        <f t="shared" si="1"/>
        <v>23.03</v>
      </c>
      <c r="G29" s="349">
        <f t="shared" si="8"/>
        <v>36.505</v>
      </c>
      <c r="H29" s="349">
        <f t="shared" si="9"/>
        <v>77.175</v>
      </c>
      <c r="I29" s="336">
        <f>F28-F29</f>
        <v>8.93</v>
      </c>
      <c r="J29" s="336">
        <f>G28-G29</f>
        <v>14.155000000000001</v>
      </c>
      <c r="K29" s="336">
        <f>H28-H29</f>
        <v>29.92500000000001</v>
      </c>
      <c r="L29" s="338">
        <v>4.8</v>
      </c>
      <c r="M29" s="454">
        <f t="shared" si="3"/>
        <v>451.2</v>
      </c>
      <c r="N29" s="340">
        <f t="shared" si="4"/>
        <v>715.1999999999999</v>
      </c>
      <c r="O29" s="341">
        <f t="shared" si="5"/>
        <v>1512</v>
      </c>
      <c r="P29" s="611">
        <f>SUMPRODUCT('Cost-Effectiveness Level'!$I$3:$K$3,M29:O29)</f>
        <v>997.0559999999999</v>
      </c>
      <c r="S29" s="378"/>
      <c r="T29" s="595" t="s">
        <v>174</v>
      </c>
      <c r="U29" s="409">
        <v>14.187490174605683</v>
      </c>
      <c r="V29" s="409">
        <v>11.9</v>
      </c>
      <c r="W29" s="332">
        <v>168.8311330778076</v>
      </c>
      <c r="X29" s="378"/>
      <c r="Z29" s="595" t="s">
        <v>485</v>
      </c>
      <c r="AA29" s="409">
        <v>18.35356840806456</v>
      </c>
      <c r="AB29" s="409">
        <v>7.29</v>
      </c>
      <c r="AC29" s="332">
        <v>133.79751369479067</v>
      </c>
      <c r="AD29" s="378"/>
      <c r="AE29"/>
      <c r="AF29" s="595" t="s">
        <v>177</v>
      </c>
      <c r="AG29" s="409">
        <v>15.73163006405534</v>
      </c>
      <c r="AH29" s="409">
        <v>15.288</v>
      </c>
      <c r="AI29" s="332">
        <v>240.50516041927804</v>
      </c>
      <c r="AJ29"/>
      <c r="AQ29" s="290">
        <v>27960.474655728103</v>
      </c>
      <c r="AR29" s="291">
        <v>32015.29446234984</v>
      </c>
      <c r="AS29" s="291">
        <v>42124.11368297686</v>
      </c>
      <c r="AT29" s="291">
        <v>48576.003515968354</v>
      </c>
      <c r="AU29" s="388">
        <v>1020</v>
      </c>
      <c r="AV29" s="389">
        <f>('Cost-Effectiveness Level'!$B$3*AQ29)+('Cost-Effectiveness Level'!$C$3*AR29)+('Cost-Effectiveness Level'!$D$3*AS29)+('Cost-Effectiveness Level'!$E$3*AT29)</f>
        <v>34559.57075886317</v>
      </c>
      <c r="AY29" s="290">
        <v>26794.286551421035</v>
      </c>
      <c r="AZ29" s="291">
        <v>30734.720187518316</v>
      </c>
      <c r="BA29" s="291">
        <v>40662.203340169945</v>
      </c>
      <c r="BB29" s="291">
        <v>47110.98740111339</v>
      </c>
      <c r="BC29" s="388">
        <v>1020</v>
      </c>
      <c r="BD29" s="389">
        <f>('Cost-Effectiveness Level'!$B$3*AY29)+('Cost-Effectiveness Level'!$C$3*AZ29)+('Cost-Effectiveness Level'!$D$3*BA29)+('Cost-Effectiveness Level'!$E$3*BB29)</f>
        <v>33247.31760914152</v>
      </c>
      <c r="BG29" s="290">
        <v>23250.6006445942</v>
      </c>
      <c r="BH29" s="291">
        <v>26646.79167887489</v>
      </c>
      <c r="BI29" s="291">
        <v>36239.173747436274</v>
      </c>
      <c r="BJ29" s="291">
        <v>42320.8907119836</v>
      </c>
      <c r="BK29" s="388">
        <v>1020</v>
      </c>
      <c r="BL29" s="389">
        <f>('Cost-Effectiveness Level'!$B$3*BG29)+('Cost-Effectiveness Level'!$C$3*BH29)+('Cost-Effectiveness Level'!$D$3*BI29)+('Cost-Effectiveness Level'!$E$3*BJ29)</f>
        <v>29149.353940814533</v>
      </c>
    </row>
    <row r="30" spans="1:64" ht="12.75">
      <c r="A30" s="484" t="s">
        <v>205</v>
      </c>
      <c r="B30" s="485">
        <v>0.47</v>
      </c>
      <c r="C30" s="486">
        <v>40</v>
      </c>
      <c r="D30" s="486">
        <v>40</v>
      </c>
      <c r="E30" s="486">
        <v>40</v>
      </c>
      <c r="F30" s="487">
        <f t="shared" si="1"/>
        <v>18.799999999999997</v>
      </c>
      <c r="G30" s="487">
        <f t="shared" si="8"/>
        <v>18.799999999999997</v>
      </c>
      <c r="H30" s="487">
        <f t="shared" si="9"/>
        <v>18.799999999999997</v>
      </c>
      <c r="I30" s="488">
        <v>0</v>
      </c>
      <c r="J30" s="488">
        <v>1</v>
      </c>
      <c r="K30" s="488">
        <v>2</v>
      </c>
      <c r="L30" s="489">
        <v>0</v>
      </c>
      <c r="M30" s="490">
        <f t="shared" si="3"/>
        <v>0</v>
      </c>
      <c r="N30" s="491">
        <f t="shared" si="4"/>
        <v>0</v>
      </c>
      <c r="O30" s="609">
        <f t="shared" si="5"/>
        <v>0</v>
      </c>
      <c r="P30" s="611">
        <f>SUMPRODUCT('Cost-Effectiveness Level'!$I$3:$K$3,M30:O30)</f>
        <v>0</v>
      </c>
      <c r="S30" s="378"/>
      <c r="T30" s="595" t="s">
        <v>177</v>
      </c>
      <c r="U30" s="409">
        <v>15.731630064055338</v>
      </c>
      <c r="V30" s="409">
        <v>17.85</v>
      </c>
      <c r="W30" s="332">
        <v>280.8095966433878</v>
      </c>
      <c r="X30" s="378"/>
      <c r="Z30" s="595" t="s">
        <v>176</v>
      </c>
      <c r="AA30" s="409">
        <v>20.83333333333333</v>
      </c>
      <c r="AB30" s="409">
        <v>16.2</v>
      </c>
      <c r="AC30" s="332">
        <v>337.5</v>
      </c>
      <c r="AD30" s="378"/>
      <c r="AE30"/>
      <c r="AF30" s="595" t="s">
        <v>176</v>
      </c>
      <c r="AG30" s="409">
        <v>20.833333333333332</v>
      </c>
      <c r="AH30" s="409">
        <v>8.736</v>
      </c>
      <c r="AI30" s="332">
        <v>182</v>
      </c>
      <c r="AJ30"/>
      <c r="AQ30" s="290">
        <v>27295.253442719015</v>
      </c>
      <c r="AR30" s="291">
        <v>31259.947260474655</v>
      </c>
      <c r="AS30" s="291">
        <v>41172.22384998535</v>
      </c>
      <c r="AT30" s="291">
        <v>47492.675065924406</v>
      </c>
      <c r="AU30" s="388">
        <v>1000</v>
      </c>
      <c r="AV30" s="389">
        <f>('Cost-Effectiveness Level'!$B$3*AQ30)+('Cost-Effectiveness Level'!$C$3*AR30)+('Cost-Effectiveness Level'!$D$3*AS30)+('Cost-Effectiveness Level'!$E$3*AT30)</f>
        <v>33756.71403457369</v>
      </c>
      <c r="AY30" s="290">
        <v>26135.511280398478</v>
      </c>
      <c r="AZ30" s="291">
        <v>29982.420158218578</v>
      </c>
      <c r="BA30" s="291">
        <v>39714.62056841489</v>
      </c>
      <c r="BB30" s="291">
        <v>46030.44242601817</v>
      </c>
      <c r="BC30" s="388">
        <v>1000</v>
      </c>
      <c r="BD30" s="389">
        <f>('Cost-Effectiveness Level'!$B$3*AY30)+('Cost-Effectiveness Level'!$C$3*AZ30)+('Cost-Effectiveness Level'!$D$3*BA30)+('Cost-Effectiveness Level'!$E$3*BB30)</f>
        <v>32448.489598593616</v>
      </c>
      <c r="BG30" s="290">
        <v>22620.33401699385</v>
      </c>
      <c r="BH30" s="291">
        <v>25917.550542045126</v>
      </c>
      <c r="BI30" s="291">
        <v>35318.4881336068</v>
      </c>
      <c r="BJ30" s="291">
        <v>41258.365074714326</v>
      </c>
      <c r="BK30" s="388">
        <v>1000</v>
      </c>
      <c r="BL30" s="389">
        <f>('Cost-Effectiveness Level'!$B$3*BG30)+('Cost-Effectiveness Level'!$C$3*BH30)+('Cost-Effectiveness Level'!$D$3*BI30)+('Cost-Effectiveness Level'!$E$3*BJ30)</f>
        <v>28375.38236155875</v>
      </c>
    </row>
    <row r="31" spans="1:64" ht="13.5" thickBot="1">
      <c r="A31" s="417" t="s">
        <v>180</v>
      </c>
      <c r="B31" s="497">
        <v>0.19</v>
      </c>
      <c r="C31" s="498">
        <v>40</v>
      </c>
      <c r="D31" s="498">
        <v>40</v>
      </c>
      <c r="E31" s="498">
        <v>40</v>
      </c>
      <c r="F31" s="499">
        <f t="shared" si="1"/>
        <v>7.6</v>
      </c>
      <c r="G31" s="499">
        <f t="shared" si="8"/>
        <v>7.6</v>
      </c>
      <c r="H31" s="499">
        <f t="shared" si="9"/>
        <v>7.6</v>
      </c>
      <c r="I31" s="418">
        <f>F30-F31</f>
        <v>11.199999999999998</v>
      </c>
      <c r="J31" s="418">
        <f>G30-G31</f>
        <v>11.199999999999998</v>
      </c>
      <c r="K31" s="418">
        <f>H30-H31</f>
        <v>11.199999999999998</v>
      </c>
      <c r="L31" s="500">
        <v>15.01171875</v>
      </c>
      <c r="M31" s="501">
        <f t="shared" si="3"/>
        <v>600.46875</v>
      </c>
      <c r="N31" s="502">
        <f t="shared" si="4"/>
        <v>600.46875</v>
      </c>
      <c r="O31" s="608">
        <f t="shared" si="5"/>
        <v>600.46875</v>
      </c>
      <c r="P31" s="611">
        <f>SUMPRODUCT('Cost-Effectiveness Level'!$I$3:$K$3,M31:O31)</f>
        <v>600.46875</v>
      </c>
      <c r="S31" s="378"/>
      <c r="T31" s="595" t="s">
        <v>176</v>
      </c>
      <c r="U31" s="409">
        <v>20.833333333333336</v>
      </c>
      <c r="V31" s="409">
        <v>10.2</v>
      </c>
      <c r="W31" s="332">
        <v>212.5</v>
      </c>
      <c r="X31" s="378"/>
      <c r="Z31" s="595" t="s">
        <v>488</v>
      </c>
      <c r="AA31" s="409">
        <v>21.211506258461128</v>
      </c>
      <c r="AB31" s="409">
        <v>112.47868613138687</v>
      </c>
      <c r="AC31" s="332">
        <v>2385.8423548193973</v>
      </c>
      <c r="AD31" s="378"/>
      <c r="AE31"/>
      <c r="AF31" s="595" t="s">
        <v>488</v>
      </c>
      <c r="AG31" s="409">
        <v>21.21150625846113</v>
      </c>
      <c r="AH31" s="409">
        <v>237.79051094890508</v>
      </c>
      <c r="AI31" s="332">
        <v>5043.894911195371</v>
      </c>
      <c r="AJ31"/>
      <c r="AQ31" s="290">
        <v>26630.530325227075</v>
      </c>
      <c r="AR31" s="291">
        <v>30505.27395253443</v>
      </c>
      <c r="AS31" s="291">
        <v>40220.480515675365</v>
      </c>
      <c r="AT31" s="291">
        <v>46409.258716671546</v>
      </c>
      <c r="AU31" s="388">
        <v>980</v>
      </c>
      <c r="AV31" s="389">
        <f>('Cost-Effectiveness Level'!$B$3*AQ31)+('Cost-Effectiveness Level'!$C$3*AR31)+('Cost-Effectiveness Level'!$D$3*AS31)+('Cost-Effectiveness Level'!$E$3*AT31)</f>
        <v>32954.326106065055</v>
      </c>
      <c r="AY31" s="290">
        <v>25476.82390858482</v>
      </c>
      <c r="AZ31" s="291">
        <v>29230.35452680926</v>
      </c>
      <c r="BA31" s="291">
        <v>38767.21359507764</v>
      </c>
      <c r="BB31" s="291">
        <v>44950.33694696748</v>
      </c>
      <c r="BC31" s="388">
        <v>980</v>
      </c>
      <c r="BD31" s="389">
        <f>('Cost-Effectiveness Level'!$B$3*AY31)+('Cost-Effectiveness Level'!$C$3*AZ31)+('Cost-Effectiveness Level'!$D$3*BA31)+('Cost-Effectiveness Level'!$E$3*BB31)</f>
        <v>31649.86229123938</v>
      </c>
      <c r="BG31" s="290">
        <v>21989.97949018459</v>
      </c>
      <c r="BH31" s="291">
        <v>25190.301787283915</v>
      </c>
      <c r="BI31" s="291">
        <v>34399.58980369177</v>
      </c>
      <c r="BJ31" s="291">
        <v>40196.07383533549</v>
      </c>
      <c r="BK31" s="388">
        <v>980</v>
      </c>
      <c r="BL31" s="389">
        <f>('Cost-Effectiveness Level'!$B$3*BG31)+('Cost-Effectiveness Level'!$C$3*BH31)+('Cost-Effectiveness Level'!$D$3*BI31)+('Cost-Effectiveness Level'!$E$3*BJ31)</f>
        <v>27602.847934368594</v>
      </c>
    </row>
    <row r="32" spans="1:64" ht="12.75">
      <c r="A32" s="493" t="s">
        <v>206</v>
      </c>
      <c r="B32" s="481">
        <v>0.33116666666666666</v>
      </c>
      <c r="C32" s="467">
        <v>0</v>
      </c>
      <c r="D32" s="467">
        <v>0</v>
      </c>
      <c r="E32" s="467">
        <v>864</v>
      </c>
      <c r="F32" s="468">
        <f t="shared" si="1"/>
        <v>0</v>
      </c>
      <c r="G32" s="468">
        <f t="shared" si="8"/>
        <v>0</v>
      </c>
      <c r="H32" s="468">
        <f t="shared" si="9"/>
        <v>286.128</v>
      </c>
      <c r="I32" s="469">
        <v>0</v>
      </c>
      <c r="J32" s="469">
        <v>1</v>
      </c>
      <c r="K32" s="469">
        <v>2</v>
      </c>
      <c r="L32" s="504">
        <v>0</v>
      </c>
      <c r="M32" s="471">
        <f t="shared" si="3"/>
        <v>0</v>
      </c>
      <c r="N32" s="471">
        <f t="shared" si="4"/>
        <v>0</v>
      </c>
      <c r="O32" s="604">
        <f t="shared" si="5"/>
        <v>0</v>
      </c>
      <c r="P32" s="611">
        <f>SUMPRODUCT('Cost-Effectiveness Level'!$I$3:$K$3,M32:O32)</f>
        <v>0</v>
      </c>
      <c r="S32" s="378"/>
      <c r="T32" s="595" t="s">
        <v>488</v>
      </c>
      <c r="U32" s="409">
        <v>21.211506258461128</v>
      </c>
      <c r="V32" s="409">
        <v>70.95970802919709</v>
      </c>
      <c r="W32" s="332">
        <v>1505.1622909598884</v>
      </c>
      <c r="X32" s="378"/>
      <c r="Z32" s="595" t="s">
        <v>179</v>
      </c>
      <c r="AA32" s="409">
        <v>32.5</v>
      </c>
      <c r="AB32" s="409">
        <v>5.4</v>
      </c>
      <c r="AC32" s="332">
        <v>175.5</v>
      </c>
      <c r="AD32" s="378"/>
      <c r="AE32"/>
      <c r="AF32" s="595" t="s">
        <v>185</v>
      </c>
      <c r="AG32" s="409">
        <v>21.609195402298816</v>
      </c>
      <c r="AH32" s="409">
        <v>18.79200000000003</v>
      </c>
      <c r="AI32" s="332">
        <v>406.08</v>
      </c>
      <c r="AJ32"/>
      <c r="AQ32" s="290">
        <v>25965.983006152943</v>
      </c>
      <c r="AR32" s="291">
        <v>29751.303838265456</v>
      </c>
      <c r="AS32" s="291">
        <v>39268.91297978318</v>
      </c>
      <c r="AT32" s="291">
        <v>45326.04746557281</v>
      </c>
      <c r="AU32" s="388">
        <v>960</v>
      </c>
      <c r="AV32" s="389">
        <f>('Cost-Effectiveness Level'!$B$3*AQ32)+('Cost-Effectiveness Level'!$C$3*AR32)+('Cost-Effectiveness Level'!$D$3*AS32)+('Cost-Effectiveness Level'!$E$3*AT32)</f>
        <v>32152.37913858775</v>
      </c>
      <c r="AY32" s="290">
        <v>24819.162027541755</v>
      </c>
      <c r="AZ32" s="291">
        <v>28478.75769118078</v>
      </c>
      <c r="BA32" s="291">
        <v>37820.89071198359</v>
      </c>
      <c r="BB32" s="291">
        <v>43870.319367125696</v>
      </c>
      <c r="BC32" s="388">
        <v>960</v>
      </c>
      <c r="BD32" s="389">
        <f>('Cost-Effectiveness Level'!$B$3*AY32)+('Cost-Effectiveness Level'!$C$3*AZ32)+('Cost-Effectiveness Level'!$D$3*BA32)+('Cost-Effectiveness Level'!$E$3*BB32)</f>
        <v>30851.949897450926</v>
      </c>
      <c r="BG32" s="290">
        <v>21360.914151772635</v>
      </c>
      <c r="BH32" s="291">
        <v>24464.78171696455</v>
      </c>
      <c r="BI32" s="291">
        <v>33482.03926164665</v>
      </c>
      <c r="BJ32" s="291">
        <v>39134.5736888368</v>
      </c>
      <c r="BK32" s="388">
        <v>960</v>
      </c>
      <c r="BL32" s="389">
        <f>('Cost-Effectiveness Level'!$B$3*BG32)+('Cost-Effectiveness Level'!$C$3*BH32)+('Cost-Effectiveness Level'!$D$3*BI32)+('Cost-Effectiveness Level'!$E$3*BJ32)</f>
        <v>26831.812188690303</v>
      </c>
    </row>
    <row r="33" spans="1:64" ht="12.75">
      <c r="A33" s="320" t="s">
        <v>184</v>
      </c>
      <c r="B33" s="323">
        <v>0.13066666666666668</v>
      </c>
      <c r="C33" s="342">
        <v>0</v>
      </c>
      <c r="D33" s="342">
        <v>0</v>
      </c>
      <c r="E33" s="342">
        <v>864</v>
      </c>
      <c r="F33" s="347">
        <f t="shared" si="1"/>
        <v>0</v>
      </c>
      <c r="G33" s="347">
        <f t="shared" si="8"/>
        <v>0</v>
      </c>
      <c r="H33" s="347">
        <f t="shared" si="9"/>
        <v>112.89600000000002</v>
      </c>
      <c r="I33" s="343">
        <f aca="true" t="shared" si="10" ref="I33:K34">F32-F33</f>
        <v>0</v>
      </c>
      <c r="J33" s="343">
        <f t="shared" si="10"/>
        <v>0</v>
      </c>
      <c r="K33" s="343">
        <f t="shared" si="10"/>
        <v>173.23199999999997</v>
      </c>
      <c r="L33" s="503">
        <v>0.34693287037037035</v>
      </c>
      <c r="M33" s="345">
        <f t="shared" si="3"/>
        <v>0</v>
      </c>
      <c r="N33" s="345">
        <f t="shared" si="4"/>
        <v>0</v>
      </c>
      <c r="O33" s="606">
        <f t="shared" si="5"/>
        <v>299.75</v>
      </c>
      <c r="P33" s="611">
        <f>SUMPRODUCT('Cost-Effectiveness Level'!$I$3:$K$3,M33:O33)</f>
        <v>125.895</v>
      </c>
      <c r="S33" s="378"/>
      <c r="T33" s="595" t="s">
        <v>179</v>
      </c>
      <c r="U33" s="409">
        <v>32.5</v>
      </c>
      <c r="V33" s="409">
        <v>3.4</v>
      </c>
      <c r="W33" s="332">
        <v>110.5</v>
      </c>
      <c r="X33" s="378"/>
      <c r="Z33" s="595" t="s">
        <v>178</v>
      </c>
      <c r="AA33" s="409">
        <v>36.393679790727134</v>
      </c>
      <c r="AB33" s="409">
        <v>4.724999999999994</v>
      </c>
      <c r="AC33" s="332">
        <v>171.9601370111855</v>
      </c>
      <c r="AD33" s="378"/>
      <c r="AE33"/>
      <c r="AF33" s="595" t="s">
        <v>179</v>
      </c>
      <c r="AG33" s="409">
        <v>32.5</v>
      </c>
      <c r="AH33" s="409">
        <v>2.9120000000000026</v>
      </c>
      <c r="AI33" s="332">
        <v>94.64</v>
      </c>
      <c r="AJ33"/>
      <c r="AQ33" s="290">
        <v>25301.640785232936</v>
      </c>
      <c r="AR33" s="291">
        <v>28997.42162320539</v>
      </c>
      <c r="AS33" s="291">
        <v>38318.01933782596</v>
      </c>
      <c r="AT33" s="291">
        <v>44242.95341341929</v>
      </c>
      <c r="AU33" s="388">
        <v>940</v>
      </c>
      <c r="AV33" s="389">
        <f>('Cost-Effectiveness Level'!$B$3*AQ33)+('Cost-Effectiveness Level'!$C$3*AR33)+('Cost-Effectiveness Level'!$D$3*AS33)+('Cost-Effectiveness Level'!$E$3*AT33)</f>
        <v>31350.69147377674</v>
      </c>
      <c r="AY33" s="290">
        <v>24162.379138587752</v>
      </c>
      <c r="AZ33" s="291">
        <v>27727.453852915325</v>
      </c>
      <c r="BA33" s="291">
        <v>36875.35892176971</v>
      </c>
      <c r="BB33" s="291">
        <v>42789.77439203047</v>
      </c>
      <c r="BC33" s="388">
        <v>940</v>
      </c>
      <c r="BD33" s="389">
        <f>('Cost-Effectiveness Level'!$B$3*AY33)+('Cost-Effectiveness Level'!$C$3*AZ33)+('Cost-Effectiveness Level'!$D$3*BA33)+('Cost-Effectiveness Level'!$E$3*BB33)</f>
        <v>30054.53120421916</v>
      </c>
      <c r="BG33" s="290">
        <v>20733.95839437445</v>
      </c>
      <c r="BH33" s="291">
        <v>23742.68971579256</v>
      </c>
      <c r="BI33" s="291">
        <v>32565.572809844714</v>
      </c>
      <c r="BJ33" s="291">
        <v>38073.45443891005</v>
      </c>
      <c r="BK33" s="388">
        <v>940</v>
      </c>
      <c r="BL33" s="389">
        <f>('Cost-Effectiveness Level'!$B$3*BG33)+('Cost-Effectiveness Level'!$C$3*BH33)+('Cost-Effectiveness Level'!$D$3*BI33)+('Cost-Effectiveness Level'!$E$3*BJ33)</f>
        <v>26063.20246117785</v>
      </c>
    </row>
    <row r="34" spans="1:64" ht="13.5" thickBot="1">
      <c r="A34" s="495" t="s">
        <v>185</v>
      </c>
      <c r="B34" s="496">
        <v>0.10891666666666665</v>
      </c>
      <c r="C34" s="335">
        <v>0</v>
      </c>
      <c r="D34" s="335">
        <v>0</v>
      </c>
      <c r="E34" s="335">
        <v>864</v>
      </c>
      <c r="F34" s="349">
        <f t="shared" si="1"/>
        <v>0</v>
      </c>
      <c r="G34" s="349">
        <f t="shared" si="8"/>
        <v>0</v>
      </c>
      <c r="H34" s="349">
        <f t="shared" si="9"/>
        <v>94.10399999999998</v>
      </c>
      <c r="I34" s="336">
        <f t="shared" si="10"/>
        <v>0</v>
      </c>
      <c r="J34" s="336">
        <f t="shared" si="10"/>
        <v>0</v>
      </c>
      <c r="K34" s="336">
        <f t="shared" si="10"/>
        <v>18.79200000000003</v>
      </c>
      <c r="L34" s="505">
        <v>0.47</v>
      </c>
      <c r="M34" s="340">
        <f t="shared" si="3"/>
        <v>0</v>
      </c>
      <c r="N34" s="340">
        <f t="shared" si="4"/>
        <v>0</v>
      </c>
      <c r="O34" s="607">
        <f t="shared" si="5"/>
        <v>406.08</v>
      </c>
      <c r="P34" s="611">
        <f>SUMPRODUCT('Cost-Effectiveness Level'!$I$3:$K$3,M34:O34)</f>
        <v>170.5536</v>
      </c>
      <c r="S34" s="378"/>
      <c r="T34" s="595" t="s">
        <v>490</v>
      </c>
      <c r="U34" s="409">
        <v>34.72222222222222</v>
      </c>
      <c r="V34" s="409">
        <v>12.24</v>
      </c>
      <c r="W34" s="332">
        <v>425</v>
      </c>
      <c r="X34" s="378"/>
      <c r="Z34" s="595" t="s">
        <v>489</v>
      </c>
      <c r="AA34" s="409">
        <v>50.52631578947368</v>
      </c>
      <c r="AB34" s="409">
        <v>14.155</v>
      </c>
      <c r="AC34" s="332">
        <v>715.2</v>
      </c>
      <c r="AD34" s="378"/>
      <c r="AE34"/>
      <c r="AF34" s="595" t="s">
        <v>178</v>
      </c>
      <c r="AG34" s="409">
        <v>36.39367979072712</v>
      </c>
      <c r="AH34" s="409">
        <v>3.64</v>
      </c>
      <c r="AI34" s="332">
        <v>132.47299443824662</v>
      </c>
      <c r="AJ34"/>
      <c r="AQ34" s="290">
        <v>24637.85525930267</v>
      </c>
      <c r="AR34" s="291">
        <v>28243.92030471726</v>
      </c>
      <c r="AS34" s="291">
        <v>37368.180486375626</v>
      </c>
      <c r="AT34" s="291">
        <v>43160.12305889247</v>
      </c>
      <c r="AU34" s="388">
        <v>920</v>
      </c>
      <c r="AV34" s="389">
        <f>('Cost-Effectiveness Level'!$B$3*AQ34)+('Cost-Effectiveness Level'!$C$3*AR34)+('Cost-Effectiveness Level'!$D$3*AS34)+('Cost-Effectiveness Level'!$E$3*AT34)</f>
        <v>30549.582478757697</v>
      </c>
      <c r="AY34" s="290">
        <v>23506.24084383241</v>
      </c>
      <c r="AZ34" s="291">
        <v>26977.439203047175</v>
      </c>
      <c r="BA34" s="291">
        <v>35930.911221799004</v>
      </c>
      <c r="BB34" s="291">
        <v>41710.22560796953</v>
      </c>
      <c r="BC34" s="388">
        <v>920</v>
      </c>
      <c r="BD34" s="389">
        <f>('Cost-Effectiveness Level'!$B$3*AY34)+('Cost-Effectiveness Level'!$C$3*AZ34)+('Cost-Effectiveness Level'!$D$3*BA34)+('Cost-Effectiveness Level'!$E$3*BB34)</f>
        <v>29258.2068561383</v>
      </c>
      <c r="BG34" s="290">
        <v>20108.057427483156</v>
      </c>
      <c r="BH34" s="291">
        <v>23022.47289774392</v>
      </c>
      <c r="BI34" s="291">
        <v>31649.83885145034</v>
      </c>
      <c r="BJ34" s="291">
        <v>37014.825666569006</v>
      </c>
      <c r="BK34" s="388">
        <v>920</v>
      </c>
      <c r="BL34" s="389">
        <f>('Cost-Effectiveness Level'!$B$3*BG34)+('Cost-Effectiveness Level'!$C$3*BH34)+('Cost-Effectiveness Level'!$D$3*BI34)+('Cost-Effectiveness Level'!$E$3*BJ34)</f>
        <v>25296.048930559624</v>
      </c>
    </row>
    <row r="35" spans="1:64" ht="12.75">
      <c r="A35" s="484" t="s">
        <v>491</v>
      </c>
      <c r="B35" s="485">
        <f>0.018*0.45</f>
        <v>0.0081</v>
      </c>
      <c r="C35" s="486">
        <v>6800</v>
      </c>
      <c r="D35" s="486">
        <v>10800</v>
      </c>
      <c r="E35" s="486">
        <v>17472</v>
      </c>
      <c r="F35" s="487">
        <f t="shared" si="1"/>
        <v>55.08</v>
      </c>
      <c r="G35" s="487">
        <f t="shared" si="8"/>
        <v>87.47999999999999</v>
      </c>
      <c r="H35" s="487">
        <f t="shared" si="9"/>
        <v>141.5232</v>
      </c>
      <c r="I35" s="488">
        <v>0</v>
      </c>
      <c r="J35" s="488">
        <v>0</v>
      </c>
      <c r="K35" s="488">
        <v>0</v>
      </c>
      <c r="L35" s="489">
        <v>0</v>
      </c>
      <c r="M35" s="490">
        <f t="shared" si="3"/>
        <v>0</v>
      </c>
      <c r="N35" s="491">
        <f t="shared" si="4"/>
        <v>0</v>
      </c>
      <c r="O35" s="609">
        <f t="shared" si="5"/>
        <v>0</v>
      </c>
      <c r="P35" s="611">
        <f>SUMPRODUCT('Cost-Effectiveness Level'!$I$3:$K$3,M35:O35)</f>
        <v>0</v>
      </c>
      <c r="S35" s="378"/>
      <c r="T35" s="595" t="s">
        <v>178</v>
      </c>
      <c r="U35" s="409">
        <v>36.39367979072712</v>
      </c>
      <c r="V35" s="409">
        <v>4.25</v>
      </c>
      <c r="W35" s="332">
        <v>154.67313911059014</v>
      </c>
      <c r="X35" s="378"/>
      <c r="Z35" s="595" t="s">
        <v>180</v>
      </c>
      <c r="AA35" s="409">
        <v>53.61328125</v>
      </c>
      <c r="AB35" s="409">
        <v>11.2</v>
      </c>
      <c r="AC35" s="332">
        <v>600.46875</v>
      </c>
      <c r="AD35" s="378"/>
      <c r="AE35"/>
      <c r="AF35" s="595" t="s">
        <v>489</v>
      </c>
      <c r="AG35" s="409">
        <v>50.526315789473664</v>
      </c>
      <c r="AH35" s="409">
        <v>29.925</v>
      </c>
      <c r="AI35" s="332">
        <v>1512</v>
      </c>
      <c r="AJ35"/>
      <c r="AQ35" s="290">
        <v>23975.241722824496</v>
      </c>
      <c r="AR35" s="291">
        <v>27490.858482273663</v>
      </c>
      <c r="AS35" s="291">
        <v>36419.16202754176</v>
      </c>
      <c r="AT35" s="291">
        <v>42077.58570172868</v>
      </c>
      <c r="AU35" s="388">
        <v>900</v>
      </c>
      <c r="AV35" s="389">
        <f>('Cost-Effectiveness Level'!$B$3*AQ35)+('Cost-Effectiveness Level'!$C$3*AR35)+('Cost-Effectiveness Level'!$D$3*AS35)+('Cost-Effectiveness Level'!$E$3*AT35)</f>
        <v>29749.147377673602</v>
      </c>
      <c r="AY35" s="290">
        <v>22851.040140638735</v>
      </c>
      <c r="AZ35" s="291">
        <v>26227.600351596837</v>
      </c>
      <c r="BA35" s="291">
        <v>34987.225314972166</v>
      </c>
      <c r="BB35" s="291">
        <v>40631.29211837094</v>
      </c>
      <c r="BC35" s="388">
        <v>900</v>
      </c>
      <c r="BD35" s="389">
        <f>('Cost-Effectiveness Level'!$B$3*AY35)+('Cost-Effectiveness Level'!$C$3*AZ35)+('Cost-Effectiveness Level'!$D$3*BA35)+('Cost-Effectiveness Level'!$E$3*BB35)</f>
        <v>28462.379138587752</v>
      </c>
      <c r="BG35" s="290">
        <v>19486.697919718725</v>
      </c>
      <c r="BH35" s="291">
        <v>22305.039554644012</v>
      </c>
      <c r="BI35" s="291">
        <v>30737.12276589511</v>
      </c>
      <c r="BJ35" s="291">
        <v>35958.39437445063</v>
      </c>
      <c r="BK35" s="388">
        <v>900</v>
      </c>
      <c r="BL35" s="389">
        <f>('Cost-Effectiveness Level'!$B$3*BG35)+('Cost-Effectiveness Level'!$C$3*BH35)+('Cost-Effectiveness Level'!$D$3*BI35)+('Cost-Effectiveness Level'!$E$3*BJ35)</f>
        <v>24532.059771462064</v>
      </c>
    </row>
    <row r="36" spans="1:64" ht="13.5" thickBot="1">
      <c r="A36" s="334" t="s">
        <v>490</v>
      </c>
      <c r="B36" s="326">
        <f>0.018*0.35</f>
        <v>0.006299999999999999</v>
      </c>
      <c r="C36" s="335">
        <v>6800</v>
      </c>
      <c r="D36" s="335">
        <v>10800</v>
      </c>
      <c r="E36" s="335">
        <v>17472</v>
      </c>
      <c r="F36" s="349">
        <f t="shared" si="1"/>
        <v>42.839999999999996</v>
      </c>
      <c r="G36" s="349">
        <f t="shared" si="8"/>
        <v>68.03999999999999</v>
      </c>
      <c r="H36" s="349">
        <f t="shared" si="9"/>
        <v>110.07359999999998</v>
      </c>
      <c r="I36" s="337">
        <v>12.24</v>
      </c>
      <c r="J36" s="337">
        <v>12.24</v>
      </c>
      <c r="K36" s="337">
        <v>12.24</v>
      </c>
      <c r="L36" s="338">
        <v>0.5</v>
      </c>
      <c r="M36" s="454">
        <f>$L36*M5</f>
        <v>425</v>
      </c>
      <c r="N36" s="339">
        <f>$L36*N5</f>
        <v>675</v>
      </c>
      <c r="O36" s="610">
        <f>$L36*O5</f>
        <v>1092</v>
      </c>
      <c r="P36" s="612">
        <f>SUMPRODUCT('Cost-Effectiveness Level'!$I$3:$K$3,M36:O36)</f>
        <v>800.14</v>
      </c>
      <c r="S36" s="378"/>
      <c r="T36" s="595" t="s">
        <v>489</v>
      </c>
      <c r="U36" s="409">
        <v>50.526315789473685</v>
      </c>
      <c r="V36" s="409">
        <v>8.93</v>
      </c>
      <c r="W36" s="332">
        <v>451.2</v>
      </c>
      <c r="X36" s="378"/>
      <c r="Z36" s="595" t="s">
        <v>490</v>
      </c>
      <c r="AA36" s="409">
        <v>55.14705882352941</v>
      </c>
      <c r="AB36" s="409">
        <v>12.24</v>
      </c>
      <c r="AC36" s="332">
        <v>675</v>
      </c>
      <c r="AD36" s="378"/>
      <c r="AE36"/>
      <c r="AF36" s="595" t="s">
        <v>180</v>
      </c>
      <c r="AG36" s="409">
        <v>53.61328125</v>
      </c>
      <c r="AH36" s="409">
        <v>11.2</v>
      </c>
      <c r="AI36" s="332">
        <v>600.46875</v>
      </c>
      <c r="AJ36"/>
      <c r="AQ36" s="290">
        <v>23313.68297685321</v>
      </c>
      <c r="AR36" s="291">
        <v>26737.738060357457</v>
      </c>
      <c r="AS36" s="291">
        <v>35470.72956343393</v>
      </c>
      <c r="AT36" s="291">
        <v>40996.07383533548</v>
      </c>
      <c r="AU36" s="388">
        <v>880</v>
      </c>
      <c r="AV36" s="389">
        <f>('Cost-Effectiveness Level'!$B$3*AQ36)+('Cost-Effectiveness Level'!$C$3*AR36)+('Cost-Effectiveness Level'!$D$3*AS36)+('Cost-Effectiveness Level'!$E$3*AT36)</f>
        <v>28949.091708174627</v>
      </c>
      <c r="AY36" s="290">
        <v>22196.39613243481</v>
      </c>
      <c r="AZ36" s="291">
        <v>25478.552593026667</v>
      </c>
      <c r="BA36" s="291">
        <v>34044.00820392617</v>
      </c>
      <c r="BB36" s="291">
        <v>39552.24142982713</v>
      </c>
      <c r="BC36" s="388">
        <v>880</v>
      </c>
      <c r="BD36" s="389">
        <f>('Cost-Effectiveness Level'!$B$3*AY36)+('Cost-Effectiveness Level'!$C$3*AZ36)+('Cost-Effectiveness Level'!$D$3*BA36)+('Cost-Effectiveness Level'!$E$3*BB36)</f>
        <v>27667.169645473194</v>
      </c>
      <c r="BG36" s="290">
        <v>18867.740990331087</v>
      </c>
      <c r="BH36" s="291">
        <v>21589.51069440375</v>
      </c>
      <c r="BI36" s="291">
        <v>29825.63726926458</v>
      </c>
      <c r="BJ36" s="291">
        <v>34905.332552007036</v>
      </c>
      <c r="BK36" s="388">
        <v>880</v>
      </c>
      <c r="BL36" s="389">
        <f>('Cost-Effectiveness Level'!$B$3*BG36)+('Cost-Effectiveness Level'!$C$3*BH36)+('Cost-Effectiveness Level'!$D$3*BI36)+('Cost-Effectiveness Level'!$E$3*BJ36)</f>
        <v>23769.97949018459</v>
      </c>
    </row>
    <row r="37" spans="20:64" ht="12.75">
      <c r="T37" s="595" t="s">
        <v>180</v>
      </c>
      <c r="U37" s="409">
        <v>53.61328125</v>
      </c>
      <c r="V37" s="409">
        <v>11.2</v>
      </c>
      <c r="W37" s="332">
        <v>600.46875</v>
      </c>
      <c r="X37" s="378"/>
      <c r="Z37" s="595" t="s">
        <v>486</v>
      </c>
      <c r="AA37" s="409">
        <v>60.65613298454515</v>
      </c>
      <c r="AB37" s="409">
        <v>1.215</v>
      </c>
      <c r="AC37" s="332">
        <v>73.69720157622235</v>
      </c>
      <c r="AD37" s="378"/>
      <c r="AE37"/>
      <c r="AF37" s="595" t="s">
        <v>490</v>
      </c>
      <c r="AG37" s="409">
        <v>89.2156862745098</v>
      </c>
      <c r="AH37" s="409">
        <v>12.24</v>
      </c>
      <c r="AI37" s="332">
        <v>1092</v>
      </c>
      <c r="AQ37" s="290">
        <v>22652.827424553183</v>
      </c>
      <c r="AR37" s="291">
        <v>25985.232932903607</v>
      </c>
      <c r="AS37" s="291">
        <v>34522.29709932611</v>
      </c>
      <c r="AT37" s="291">
        <v>39914.532669205975</v>
      </c>
      <c r="AU37" s="388">
        <v>860</v>
      </c>
      <c r="AV37" s="389">
        <f>('Cost-Effectiveness Level'!$B$3*AQ37)+('Cost-Effectiveness Level'!$C$3*AR37)+('Cost-Effectiveness Level'!$D$3*AS37)+('Cost-Effectiveness Level'!$E$3*AT37)</f>
        <v>28149.482859654265</v>
      </c>
      <c r="AY37" s="290">
        <v>21542.68971579256</v>
      </c>
      <c r="AZ37" s="291">
        <v>24730.032229709937</v>
      </c>
      <c r="BA37" s="291">
        <v>33101.464986815125</v>
      </c>
      <c r="BB37" s="291">
        <v>38473.89393495458</v>
      </c>
      <c r="BC37" s="388">
        <v>860</v>
      </c>
      <c r="BD37" s="389">
        <f>('Cost-Effectiveness Level'!$B$3*AY37)+('Cost-Effectiveness Level'!$C$3*AZ37)+('Cost-Effectiveness Level'!$D$3*BA37)+('Cost-Effectiveness Level'!$E$3*BB37)</f>
        <v>26872.615001464994</v>
      </c>
      <c r="BG37" s="290">
        <v>18250.161148549665</v>
      </c>
      <c r="BH37" s="291">
        <v>20875.710518605334</v>
      </c>
      <c r="BI37" s="291">
        <v>28914.737767360097</v>
      </c>
      <c r="BJ37" s="291">
        <v>33851.36243773806</v>
      </c>
      <c r="BK37" s="388">
        <v>860</v>
      </c>
      <c r="BL37" s="389">
        <f>('Cost-Effectiveness Level'!$B$3*BG37)+('Cost-Effectiveness Level'!$C$3*BH37)+('Cost-Effectiveness Level'!$D$3*BI37)+('Cost-Effectiveness Level'!$E$3*BJ37)</f>
        <v>23009.140052739527</v>
      </c>
    </row>
    <row r="38" spans="1:64" ht="12.75">
      <c r="A38" s="396"/>
      <c r="B38" s="391"/>
      <c r="C38" s="392"/>
      <c r="D38" s="392"/>
      <c r="E38" s="393"/>
      <c r="F38" s="394"/>
      <c r="G38" s="394"/>
      <c r="H38" s="394"/>
      <c r="S38" s="5"/>
      <c r="T38" s="5"/>
      <c r="U38" s="5"/>
      <c r="V38" s="5"/>
      <c r="W38" s="5"/>
      <c r="X38" s="5"/>
      <c r="AQ38" s="290">
        <v>21992.5578669792</v>
      </c>
      <c r="AR38" s="291">
        <v>25232.786404922357</v>
      </c>
      <c r="AS38" s="291">
        <v>33574.18693231761</v>
      </c>
      <c r="AT38" s="291">
        <v>38833.69469674773</v>
      </c>
      <c r="AU38" s="388">
        <v>840</v>
      </c>
      <c r="AV38" s="389">
        <f>('Cost-Effectiveness Level'!$B$3*AQ38)+('Cost-Effectiveness Level'!$C$3*AR38)+('Cost-Effectiveness Level'!$D$3*AS38)+('Cost-Effectiveness Level'!$E$3*AT38)</f>
        <v>27350.136243773806</v>
      </c>
      <c r="AY38" s="290">
        <v>20888.63170231468</v>
      </c>
      <c r="AZ38" s="291">
        <v>23981.83416349253</v>
      </c>
      <c r="BA38" s="291">
        <v>32159.419865221218</v>
      </c>
      <c r="BB38" s="291">
        <v>37396.396132434806</v>
      </c>
      <c r="BC38" s="388">
        <v>840</v>
      </c>
      <c r="BD38" s="389">
        <f>('Cost-Effectiveness Level'!$B$3*AY38)+('Cost-Effectiveness Level'!$C$3*AZ38)+('Cost-Effectiveness Level'!$D$3*BA38)+('Cost-Effectiveness Level'!$E$3*BB38)</f>
        <v>26078.31819513625</v>
      </c>
      <c r="BG38" s="290">
        <v>17634.866686199824</v>
      </c>
      <c r="BH38" s="291">
        <v>20165.104014063876</v>
      </c>
      <c r="BI38" s="291">
        <v>28005.42045121594</v>
      </c>
      <c r="BJ38" s="291">
        <v>32797.978318195135</v>
      </c>
      <c r="BK38" s="388">
        <v>840</v>
      </c>
      <c r="BL38" s="389">
        <f>('Cost-Effectiveness Level'!$B$3*BG38)+('Cost-Effectiveness Level'!$C$3*BH38)+('Cost-Effectiveness Level'!$D$3*BI38)+('Cost-Effectiveness Level'!$E$3*BJ38)</f>
        <v>22250.779372985646</v>
      </c>
    </row>
    <row r="39" spans="5:64" ht="13.5" thickBot="1">
      <c r="E39" s="379"/>
      <c r="T39" s="371" t="s">
        <v>438</v>
      </c>
      <c r="AQ39" s="290">
        <v>21333.07940228538</v>
      </c>
      <c r="AR39" s="291">
        <v>24480.60357456783</v>
      </c>
      <c r="AS39" s="291">
        <v>32626.193964254322</v>
      </c>
      <c r="AT39" s="291">
        <v>37753.50131848813</v>
      </c>
      <c r="AU39" s="388">
        <v>820</v>
      </c>
      <c r="AV39" s="389">
        <f>('Cost-Effectiveness Level'!$B$3*AQ39)+('Cost-Effectiveness Level'!$C$3*AR39)+('Cost-Effectiveness Level'!$D$3*AS39)+('Cost-Effectiveness Level'!$E$3*AT39)</f>
        <v>26551.141224728977</v>
      </c>
      <c r="AY39" s="290">
        <v>20235.628479343686</v>
      </c>
      <c r="AZ39" s="291">
        <v>23235.628479343686</v>
      </c>
      <c r="BA39" s="291">
        <v>31218.517433343102</v>
      </c>
      <c r="BB39" s="291">
        <v>36319.748022267806</v>
      </c>
      <c r="BC39" s="388">
        <v>820</v>
      </c>
      <c r="BD39" s="389">
        <f>('Cost-Effectiveness Level'!$B$3*AY39)+('Cost-Effectiveness Level'!$C$3*AZ39)+('Cost-Effectiveness Level'!$D$3*BA39)+('Cost-Effectiveness Level'!$E$3*BB39)</f>
        <v>25285.556694989747</v>
      </c>
      <c r="BG39" s="290">
        <v>17022.502197480226</v>
      </c>
      <c r="BH39" s="291">
        <v>19458.833870495168</v>
      </c>
      <c r="BI39" s="291">
        <v>27099.648403164374</v>
      </c>
      <c r="BJ39" s="291">
        <v>31746.205684148845</v>
      </c>
      <c r="BK39" s="388">
        <v>820</v>
      </c>
      <c r="BL39" s="389">
        <f>('Cost-Effectiveness Level'!$B$3*BG39)+('Cost-Effectiveness Level'!$C$3*BH39)+('Cost-Effectiveness Level'!$D$3*BI39)+('Cost-Effectiveness Level'!$E$3*BJ39)</f>
        <v>21496.139759742167</v>
      </c>
    </row>
    <row r="40" spans="1:64" ht="13.5" thickBot="1">
      <c r="A40" s="742" t="s">
        <v>220</v>
      </c>
      <c r="B40" s="717"/>
      <c r="C40" s="717"/>
      <c r="D40" s="717"/>
      <c r="E40" s="717"/>
      <c r="F40" s="718"/>
      <c r="AQ40" s="290">
        <v>20674.18693231761</v>
      </c>
      <c r="AR40" s="291">
        <v>23728.537943158513</v>
      </c>
      <c r="AS40" s="291">
        <v>31678.25959566364</v>
      </c>
      <c r="AT40" s="291">
        <v>36673.54233811896</v>
      </c>
      <c r="AU40" s="388">
        <v>800</v>
      </c>
      <c r="AV40" s="389">
        <f>('Cost-Effectiveness Level'!$B$3*AQ40)+('Cost-Effectiveness Level'!$C$3*AR40)+('Cost-Effectiveness Level'!$D$3*AS40)+('Cost-Effectiveness Level'!$E$3*AT40)</f>
        <v>25752.348373864636</v>
      </c>
      <c r="AY40" s="290">
        <v>19583.9437445063</v>
      </c>
      <c r="AZ40" s="291">
        <v>22490.624084383242</v>
      </c>
      <c r="BA40" s="291">
        <v>30278.02519777322</v>
      </c>
      <c r="BB40" s="291">
        <v>35242.63111631996</v>
      </c>
      <c r="BC40" s="388">
        <v>800</v>
      </c>
      <c r="BD40" s="389">
        <f>('Cost-Effectiveness Level'!$B$3*AY40)+('Cost-Effectiveness Level'!$C$3*AZ40)+('Cost-Effectiveness Level'!$D$3*BA40)+('Cost-Effectiveness Level'!$E$3*BB40)</f>
        <v>24493.738646352183</v>
      </c>
      <c r="BG40" s="290">
        <v>16411.749194257252</v>
      </c>
      <c r="BH40" s="291">
        <v>18758.482273659538</v>
      </c>
      <c r="BI40" s="291">
        <v>26195.57573981834</v>
      </c>
      <c r="BJ40" s="291">
        <v>30696.952827424553</v>
      </c>
      <c r="BK40" s="388">
        <v>800</v>
      </c>
      <c r="BL40" s="389">
        <f>('Cost-Effectiveness Level'!$B$3*BG40)+('Cost-Effectiveness Level'!$C$3*BH40)+('Cost-Effectiveness Level'!$D$3*BI40)+('Cost-Effectiveness Level'!$E$3*BJ40)</f>
        <v>20745.332552007032</v>
      </c>
    </row>
    <row r="41" spans="1:64" ht="13.5" thickBot="1">
      <c r="A41" s="404" t="s">
        <v>189</v>
      </c>
      <c r="B41" s="406"/>
      <c r="C41" s="441">
        <v>850</v>
      </c>
      <c r="D41" s="441">
        <v>1350</v>
      </c>
      <c r="E41" s="441">
        <v>2184</v>
      </c>
      <c r="F41" s="442">
        <f>SUMPRODUCT('Cost-Effectiveness Level'!$I$3:$K$3,C41:E41)</f>
        <v>1600.28</v>
      </c>
      <c r="AQ41" s="290">
        <v>20016.67154995605</v>
      </c>
      <c r="AR41" s="291">
        <v>22977.52710225608</v>
      </c>
      <c r="AS41" s="291">
        <v>30730.32522707296</v>
      </c>
      <c r="AT41" s="291">
        <v>35594.31585115734</v>
      </c>
      <c r="AU41" s="388">
        <v>780</v>
      </c>
      <c r="AV41" s="389">
        <f>('Cost-Effectiveness Level'!$B$3*AQ41)+('Cost-Effectiveness Level'!$C$3*AR41)+('Cost-Effectiveness Level'!$D$3*AS41)+('Cost-Effectiveness Level'!$E$3*AT41)</f>
        <v>24954.39496044536</v>
      </c>
      <c r="AY41" s="290">
        <v>18933.81189569294</v>
      </c>
      <c r="AZ41" s="291">
        <v>21746.938177556403</v>
      </c>
      <c r="BA41" s="291">
        <v>29337.415763258134</v>
      </c>
      <c r="BB41" s="291">
        <v>34165.748608262526</v>
      </c>
      <c r="BC41" s="388">
        <v>780</v>
      </c>
      <c r="BD41" s="389">
        <f>('Cost-Effectiveness Level'!$B$3*AY41)+('Cost-Effectiveness Level'!$C$3*AZ41)+('Cost-Effectiveness Level'!$D$3*BA41)+('Cost-Effectiveness Level'!$E$3*BB41)</f>
        <v>23702.87283914445</v>
      </c>
      <c r="BG41" s="290">
        <v>15802.168180486377</v>
      </c>
      <c r="BH41" s="291">
        <v>18063.05303252271</v>
      </c>
      <c r="BI41" s="291">
        <v>25296.308233225904</v>
      </c>
      <c r="BJ41" s="291">
        <v>29648.49106358043</v>
      </c>
      <c r="BK41" s="388">
        <v>780</v>
      </c>
      <c r="BL41" s="389">
        <f>('Cost-Effectiveness Level'!$B$3*BG41)+('Cost-Effectiveness Level'!$C$3*BH41)+('Cost-Effectiveness Level'!$D$3*BI41)+('Cost-Effectiveness Level'!$E$3*BJ41)</f>
        <v>19998.461763844127</v>
      </c>
    </row>
    <row r="42" spans="1:64" ht="13.5" thickBot="1">
      <c r="A42" s="399" t="s">
        <v>221</v>
      </c>
      <c r="B42" s="400"/>
      <c r="C42" s="401">
        <f>C6+C8+C19+C26+C30+C32</f>
        <v>1794</v>
      </c>
      <c r="D42" s="401">
        <f>D6+D8+D19+D26+D30+D32</f>
        <v>2550</v>
      </c>
      <c r="E42" s="401">
        <f>E6+E8+E19+E26+E30+E32</f>
        <v>3468</v>
      </c>
      <c r="F42" s="402"/>
      <c r="T42" s="463" t="s">
        <v>213</v>
      </c>
      <c r="Z42" s="463" t="s">
        <v>214</v>
      </c>
      <c r="AF42" s="463" t="s">
        <v>215</v>
      </c>
      <c r="AQ42" s="290">
        <v>19359.419865221214</v>
      </c>
      <c r="AR42" s="291">
        <v>22226.721359507766</v>
      </c>
      <c r="AS42" s="291">
        <v>29782.537357163787</v>
      </c>
      <c r="AT42" s="291">
        <v>34515.49956050396</v>
      </c>
      <c r="AU42" s="388">
        <v>760</v>
      </c>
      <c r="AV42" s="389">
        <f>('Cost-Effectiveness Level'!$B$3*AQ42)+('Cost-Effectiveness Level'!$C$3*AR42)+('Cost-Effectiveness Level'!$D$3*AS42)+('Cost-Effectiveness Level'!$E$3*AT42)</f>
        <v>24156.653970114272</v>
      </c>
      <c r="AY42" s="290">
        <v>18284.705537650163</v>
      </c>
      <c r="AZ42" s="291">
        <v>21004.629358335776</v>
      </c>
      <c r="BA42" s="291">
        <v>28397.773220041025</v>
      </c>
      <c r="BB42" s="291">
        <v>33089.36419572224</v>
      </c>
      <c r="BC42" s="388">
        <v>760</v>
      </c>
      <c r="BD42" s="389">
        <f>('Cost-Effectiveness Level'!$B$3*AY42)+('Cost-Effectiveness Level'!$C$3*AZ42)+('Cost-Effectiveness Level'!$D$3*BA42)+('Cost-Effectiveness Level'!$E$3*BB42)</f>
        <v>22913.16730149429</v>
      </c>
      <c r="BG42" s="290">
        <v>15192.880164078524</v>
      </c>
      <c r="BH42" s="291">
        <v>17371.960152358628</v>
      </c>
      <c r="BI42" s="291">
        <v>24400.23439789042</v>
      </c>
      <c r="BJ42" s="291">
        <v>28606.533841195433</v>
      </c>
      <c r="BK42" s="388">
        <v>760</v>
      </c>
      <c r="BL42" s="389">
        <f>('Cost-Effectiveness Level'!$B$3*BG42)+('Cost-Effectiveness Level'!$C$3*BH42)+('Cost-Effectiveness Level'!$D$3*BI42)+('Cost-Effectiveness Level'!$E$3*BJ42)</f>
        <v>19254.941400527394</v>
      </c>
    </row>
    <row r="43" spans="1:64" ht="39" thickBot="1">
      <c r="A43" s="439" t="s">
        <v>222</v>
      </c>
      <c r="B43" s="403" t="s">
        <v>28</v>
      </c>
      <c r="C43" s="440" t="s">
        <v>223</v>
      </c>
      <c r="D43" s="403" t="s">
        <v>224</v>
      </c>
      <c r="E43" s="403"/>
      <c r="F43" s="455" t="s">
        <v>494</v>
      </c>
      <c r="T43" s="517" t="s">
        <v>57</v>
      </c>
      <c r="U43" s="518" t="s">
        <v>194</v>
      </c>
      <c r="V43" s="518" t="s">
        <v>496</v>
      </c>
      <c r="W43" s="518" t="s">
        <v>502</v>
      </c>
      <c r="X43" s="518" t="s">
        <v>497</v>
      </c>
      <c r="Y43" s="519" t="s">
        <v>475</v>
      </c>
      <c r="Z43" s="517" t="s">
        <v>57</v>
      </c>
      <c r="AA43" s="518" t="s">
        <v>194</v>
      </c>
      <c r="AB43" s="518" t="s">
        <v>496</v>
      </c>
      <c r="AC43" s="518" t="s">
        <v>502</v>
      </c>
      <c r="AD43" s="518" t="s">
        <v>497</v>
      </c>
      <c r="AE43" s="519" t="s">
        <v>475</v>
      </c>
      <c r="AF43" s="628" t="s">
        <v>57</v>
      </c>
      <c r="AG43" s="520" t="s">
        <v>194</v>
      </c>
      <c r="AH43" s="520" t="s">
        <v>496</v>
      </c>
      <c r="AI43" s="520" t="s">
        <v>502</v>
      </c>
      <c r="AJ43" s="520" t="s">
        <v>497</v>
      </c>
      <c r="AK43" s="521" t="s">
        <v>475</v>
      </c>
      <c r="AQ43" s="290">
        <v>18703.34016993847</v>
      </c>
      <c r="AR43" s="291">
        <v>21475.76911807794</v>
      </c>
      <c r="AS43" s="291">
        <v>28834.808086727222</v>
      </c>
      <c r="AT43" s="291">
        <v>33436.302373278646</v>
      </c>
      <c r="AU43" s="388">
        <v>740</v>
      </c>
      <c r="AV43" s="389">
        <f>('Cost-Effectiveness Level'!$B$3*AQ43)+('Cost-Effectiveness Level'!$C$3*AR43)+('Cost-Effectiveness Level'!$D$3*AS43)+('Cost-Effectiveness Level'!$E$3*AT43)</f>
        <v>23359.069733372406</v>
      </c>
      <c r="AY43" s="290">
        <v>17636.77116905948</v>
      </c>
      <c r="AZ43" s="291">
        <v>20262.46703779666</v>
      </c>
      <c r="BA43" s="291">
        <v>27459.419865221214</v>
      </c>
      <c r="BB43" s="291">
        <v>32013.97597421623</v>
      </c>
      <c r="BC43" s="388">
        <v>740</v>
      </c>
      <c r="BD43" s="389">
        <f>('Cost-Effectiveness Level'!$B$3*AY43)+('Cost-Effectiveness Level'!$C$3*AZ43)+('Cost-Effectiveness Level'!$D$3*BA43)+('Cost-Effectiveness Level'!$E$3*BB43)</f>
        <v>22124.141517726344</v>
      </c>
      <c r="BG43" s="290">
        <v>14586.961617345445</v>
      </c>
      <c r="BH43" s="291">
        <v>16683.59214767067</v>
      </c>
      <c r="BI43" s="291">
        <v>23505.215353061823</v>
      </c>
      <c r="BJ43" s="291">
        <v>27570.905361851746</v>
      </c>
      <c r="BK43" s="388">
        <v>740</v>
      </c>
      <c r="BL43" s="389">
        <f>('Cost-Effectiveness Level'!$B$3*BG43)+('Cost-Effectiveness Level'!$C$3*BH43)+('Cost-Effectiveness Level'!$D$3*BI43)+('Cost-Effectiveness Level'!$E$3*BJ43)</f>
        <v>18514.03750366247</v>
      </c>
    </row>
    <row r="44" spans="1:64" ht="12.75">
      <c r="A44" s="404" t="s">
        <v>225</v>
      </c>
      <c r="B44" s="405">
        <f>0.35/0.86</f>
        <v>0.4069767441860465</v>
      </c>
      <c r="C44" s="406">
        <v>7.16</v>
      </c>
      <c r="D44" s="407">
        <f>B44*C44</f>
        <v>2.9139534883720932</v>
      </c>
      <c r="E44" s="406"/>
      <c r="F44" s="408"/>
      <c r="T44" s="514" t="s">
        <v>216</v>
      </c>
      <c r="U44" s="469">
        <f>B77</f>
        <v>530.4635641082923</v>
      </c>
      <c r="V44" s="516">
        <v>0</v>
      </c>
      <c r="W44" s="536">
        <f>SUM(V$44:V44)</f>
        <v>0</v>
      </c>
      <c r="X44" s="469">
        <f aca="true" ca="1" t="shared" si="11" ref="X44:X56">IF(ISNA(INDEX($AU$5:$AV$73,MATCH(U44,$AU$5:$AU$73,0),1)),TREND(OFFSET(INDEX($AU$5:$AV$73,MATCH(U44,$AU$5:$AU$73,-1),2),0,0,2,1),OFFSET(INDEX($AU$5:$AV$73,MATCH(U44,$AU$5:$AU$73,-1),1),0,0,2,1),U44),INDEX($AU$5:$AV$73,MATCH(U44,$AU$5:$AU$73,0),2))</f>
        <v>15070.122043760688</v>
      </c>
      <c r="Y44" s="627"/>
      <c r="Z44" s="514" t="s">
        <v>216</v>
      </c>
      <c r="AA44" s="469">
        <f>C77</f>
        <v>794.2652617599339</v>
      </c>
      <c r="AB44" s="515">
        <v>0</v>
      </c>
      <c r="AC44" s="536">
        <f>SUM(AB$44:AB44)</f>
        <v>0</v>
      </c>
      <c r="AD44" s="469">
        <f aca="true" ca="1" t="shared" si="12" ref="AD44:AD59">IF(ISNA(INDEX($BC$5:$BD$73,MATCH(AA44,$BC$5:$BC$73,0),1)),TREND(OFFSET(INDEX($BC$5:$BD$73,MATCH(AA44,$BC$5:$BC$73,-1),2),0,0,2,1),OFFSET(INDEX($BC$5:$BD$73,MATCH(AA44,$BC$5:$BC$73,-1),1),0,0,2,1),AA44),INDEX($BC$5:$BD$73,MATCH(AA44,$BC$5:$BC$73,0),2))</f>
        <v>24266.96822698453</v>
      </c>
      <c r="AE44" s="462">
        <v>0</v>
      </c>
      <c r="AF44" s="514" t="s">
        <v>216</v>
      </c>
      <c r="AG44" s="469">
        <f>D77</f>
        <v>1221.9496922011876</v>
      </c>
      <c r="AH44" s="515">
        <v>0</v>
      </c>
      <c r="AI44" s="536">
        <f>SUM(AH$44:AH44)</f>
        <v>0</v>
      </c>
      <c r="AJ44" s="469">
        <f aca="true" ca="1" t="shared" si="13" ref="AJ44:AJ58">IF(ISNA(INDEX($BK$5:$BL$73,MATCH(AG44,$BK$5:$BK$73,0),1)),TREND(OFFSET(INDEX($BK$5:$BL$73,MATCH(AG44,$BK$5:$BK$73,-1),2),0,0,2,1),OFFSET(INDEX($BK$5:$BL$73,MATCH(AG44,$BK$5:$BK$73,-1),1),0,0,2,1),AG44),INDEX($BK$5:$BL$73,MATCH(AG44,$BK$5:$BK$73,0),2))</f>
        <v>37023.47317872868</v>
      </c>
      <c r="AK44" s="462">
        <v>0</v>
      </c>
      <c r="AQ44" s="290">
        <v>18047.670670963962</v>
      </c>
      <c r="AR44" s="291">
        <v>20725.520070319366</v>
      </c>
      <c r="AS44" s="291">
        <v>27888.45590389687</v>
      </c>
      <c r="AT44" s="291">
        <v>32357.310284207444</v>
      </c>
      <c r="AU44" s="388">
        <v>720</v>
      </c>
      <c r="AV44" s="389">
        <f>('Cost-Effectiveness Level'!$B$3*AQ44)+('Cost-Effectiveness Level'!$C$3*AR44)+('Cost-Effectiveness Level'!$D$3*AS44)+('Cost-Effectiveness Level'!$E$3*AT44)</f>
        <v>22562.273659537062</v>
      </c>
      <c r="AY44" s="290">
        <v>16993.143861705244</v>
      </c>
      <c r="AZ44" s="291">
        <v>19520.216818048637</v>
      </c>
      <c r="BA44" s="291">
        <v>26522.06270143569</v>
      </c>
      <c r="BB44" s="291">
        <v>30940.287137415766</v>
      </c>
      <c r="BC44" s="388">
        <v>720</v>
      </c>
      <c r="BD44" s="389">
        <f>('Cost-Effectiveness Level'!$B$3*AY44)+('Cost-Effectiveness Level'!$C$3*AZ44)+('Cost-Effectiveness Level'!$D$3*BA44)+('Cost-Effectiveness Level'!$E$3*BB44)</f>
        <v>21336.26721359508</v>
      </c>
      <c r="BG44" s="290">
        <v>13985.672428948139</v>
      </c>
      <c r="BH44" s="291">
        <v>15997.919718722533</v>
      </c>
      <c r="BI44" s="291">
        <v>22611.368297685323</v>
      </c>
      <c r="BJ44" s="291">
        <v>26539.027248754763</v>
      </c>
      <c r="BK44" s="388">
        <v>720</v>
      </c>
      <c r="BL44" s="389">
        <f>('Cost-Effectiveness Level'!$B$3*BG44)+('Cost-Effectiveness Level'!$C$3*BH44)+('Cost-Effectiveness Level'!$D$3*BI44)+('Cost-Effectiveness Level'!$E$3*BJ44)</f>
        <v>17775.887782009962</v>
      </c>
    </row>
    <row r="45" spans="1:64" ht="12.75">
      <c r="A45" s="397" t="s">
        <v>226</v>
      </c>
      <c r="B45" s="113">
        <f>0.17/0.86</f>
        <v>0.19767441860465118</v>
      </c>
      <c r="C45" s="398">
        <v>8.87</v>
      </c>
      <c r="D45" s="409">
        <f>B45*C45</f>
        <v>1.753372093023256</v>
      </c>
      <c r="E45" s="398"/>
      <c r="F45" s="410"/>
      <c r="T45" s="436" t="str">
        <f>T26</f>
        <v>ATTIC R19</v>
      </c>
      <c r="U45" s="329">
        <f>U44-V26</f>
        <v>442.9135641082923</v>
      </c>
      <c r="V45" s="332">
        <f>W26</f>
        <v>732.6936963096837</v>
      </c>
      <c r="W45" s="395">
        <f>SUM(V$44:V45)</f>
        <v>732.6936963096837</v>
      </c>
      <c r="X45" s="329">
        <f ca="1" t="shared" si="11"/>
        <v>11673.324585497672</v>
      </c>
      <c r="Y45" s="423">
        <f aca="true" t="shared" si="14" ref="Y45:Y56">X44-X45</f>
        <v>3396.797458263016</v>
      </c>
      <c r="Z45" s="464" t="str">
        <f>Z23</f>
        <v>VAULT R19</v>
      </c>
      <c r="AA45" s="329">
        <f>AA44-AB23</f>
        <v>742.0202617599339</v>
      </c>
      <c r="AB45" s="332">
        <f>AC23</f>
        <v>349.1069964769669</v>
      </c>
      <c r="AC45" s="395">
        <f>SUM(AB$44:AB45)</f>
        <v>349.1069964769669</v>
      </c>
      <c r="AD45" s="329">
        <f ca="1" t="shared" si="12"/>
        <v>22203.843448653715</v>
      </c>
      <c r="AE45" s="423">
        <f aca="true" t="shared" si="15" ref="AE45:AE59">AD44-AD45</f>
        <v>2063.1247783308136</v>
      </c>
      <c r="AF45" s="436" t="str">
        <f>AF24</f>
        <v>BSMT WALL R11</v>
      </c>
      <c r="AG45" s="329">
        <f>AG44-AH24</f>
        <v>1048.7176922011877</v>
      </c>
      <c r="AH45" s="332">
        <f>AI24</f>
        <v>299.75</v>
      </c>
      <c r="AI45" s="537">
        <f>SUM(AH$44:AH45)</f>
        <v>299.75</v>
      </c>
      <c r="AJ45" s="329">
        <f ca="1" t="shared" si="13"/>
        <v>30263.481404844133</v>
      </c>
      <c r="AK45" s="423">
        <f aca="true" t="shared" si="16" ref="AK45:AK58">AJ44-AJ45</f>
        <v>6759.991773884547</v>
      </c>
      <c r="AQ45" s="290">
        <v>17392.32346908878</v>
      </c>
      <c r="AR45" s="291">
        <v>19975.827717550543</v>
      </c>
      <c r="AS45" s="291">
        <v>26943.09991210079</v>
      </c>
      <c r="AT45" s="291">
        <v>31278.49399355406</v>
      </c>
      <c r="AU45" s="388">
        <v>700</v>
      </c>
      <c r="AV45" s="389">
        <f>('Cost-Effectiveness Level'!$B$3*AQ45)+('Cost-Effectiveness Level'!$C$3*AR45)+('Cost-Effectiveness Level'!$D$3*AS45)+('Cost-Effectiveness Level'!$E$3*AT45)</f>
        <v>21766.07823029593</v>
      </c>
      <c r="AY45" s="290">
        <v>16352.065631409318</v>
      </c>
      <c r="AZ45" s="291">
        <v>18780.01757984178</v>
      </c>
      <c r="BA45" s="291">
        <v>25586.932317609142</v>
      </c>
      <c r="BB45" s="291">
        <v>29868.707881629067</v>
      </c>
      <c r="BC45" s="388">
        <v>700</v>
      </c>
      <c r="BD45" s="389">
        <f>('Cost-Effectiveness Level'!$B$3*AY45)+('Cost-Effectiveness Level'!$C$3*AZ45)+('Cost-Effectiveness Level'!$D$3*BA45)+('Cost-Effectiveness Level'!$E$3*BB45)</f>
        <v>20550.590389686495</v>
      </c>
      <c r="BG45" s="290">
        <v>13389.01259888661</v>
      </c>
      <c r="BH45" s="291">
        <v>15315.44096103135</v>
      </c>
      <c r="BI45" s="291">
        <v>21719.542924113684</v>
      </c>
      <c r="BJ45" s="291">
        <v>25513.507178435397</v>
      </c>
      <c r="BK45" s="388">
        <v>700</v>
      </c>
      <c r="BL45" s="389">
        <f>('Cost-Effectiveness Level'!$B$3*BG45)+('Cost-Effectiveness Level'!$C$3*BH45)+('Cost-Effectiveness Level'!$D$3*BI45)+('Cost-Effectiveness Level'!$E$3*BJ45)</f>
        <v>17041.08409024319</v>
      </c>
    </row>
    <row r="46" spans="1:64" ht="12.75">
      <c r="A46" s="397" t="s">
        <v>227</v>
      </c>
      <c r="B46" s="113">
        <f>0.34/0.86</f>
        <v>0.39534883720930236</v>
      </c>
      <c r="C46" s="398">
        <v>9.96</v>
      </c>
      <c r="D46" s="409">
        <f>B46*C46</f>
        <v>3.9376744186046517</v>
      </c>
      <c r="E46" s="398" t="s">
        <v>228</v>
      </c>
      <c r="F46" s="410"/>
      <c r="T46" s="436" t="str">
        <f aca="true" t="shared" si="17" ref="T46:T56">T27</f>
        <v>FLOOR R11</v>
      </c>
      <c r="U46" s="329">
        <f aca="true" t="shared" si="18" ref="U46:U56">U45-V27</f>
        <v>399.5907257624276</v>
      </c>
      <c r="V46" s="332">
        <f aca="true" t="shared" si="19" ref="V46:V56">W27</f>
        <v>510</v>
      </c>
      <c r="W46" s="395">
        <f>SUM(V$44:V46)</f>
        <v>1242.6936963096837</v>
      </c>
      <c r="X46" s="329">
        <f ca="1" t="shared" si="11"/>
        <v>10015.97907132296</v>
      </c>
      <c r="Y46" s="423">
        <f t="shared" si="14"/>
        <v>1657.3455141747127</v>
      </c>
      <c r="Z46" s="464" t="str">
        <f aca="true" t="shared" si="20" ref="Z46:Z59">Z24</f>
        <v>ATTIC R19</v>
      </c>
      <c r="AA46" s="329">
        <f aca="true" t="shared" si="21" ref="AA46:AA59">AA45-AB24</f>
        <v>644.6852617599338</v>
      </c>
      <c r="AB46" s="332">
        <f aca="true" t="shared" si="22" ref="AB46:AB59">AC24</f>
        <v>814.5829917795894</v>
      </c>
      <c r="AC46" s="395">
        <f>SUM(AB$44:AB46)</f>
        <v>1163.6899882565563</v>
      </c>
      <c r="AD46" s="329">
        <f ca="1" t="shared" si="12"/>
        <v>18387.733439452742</v>
      </c>
      <c r="AE46" s="423">
        <f t="shared" si="15"/>
        <v>3816.110009200973</v>
      </c>
      <c r="AF46" s="436" t="str">
        <f aca="true" t="shared" si="23" ref="AF46:AF58">AF25</f>
        <v>ATTIC R19</v>
      </c>
      <c r="AG46" s="329">
        <f aca="true" t="shared" si="24" ref="AG46:AG58">AG45-AH25</f>
        <v>973.7336922011876</v>
      </c>
      <c r="AH46" s="332">
        <f aca="true" t="shared" si="25" ref="AH46:AH58">AI25</f>
        <v>627.5306010746467</v>
      </c>
      <c r="AI46" s="537">
        <f>SUM(AH$44:AH46)</f>
        <v>927.2806010746467</v>
      </c>
      <c r="AJ46" s="329">
        <f ca="1" t="shared" si="13"/>
        <v>27361.27056905318</v>
      </c>
      <c r="AK46" s="423">
        <f t="shared" si="16"/>
        <v>2902.210835790953</v>
      </c>
      <c r="AQ46" s="290">
        <v>16737.796659830063</v>
      </c>
      <c r="AR46" s="291">
        <v>19226.985057134487</v>
      </c>
      <c r="AS46" s="291">
        <v>25999.44330501026</v>
      </c>
      <c r="AT46" s="291">
        <v>30199.941400527394</v>
      </c>
      <c r="AU46" s="388">
        <v>680</v>
      </c>
      <c r="AV46" s="389">
        <f>('Cost-Effectiveness Level'!$B$3*AQ46)+('Cost-Effectiveness Level'!$C$3*AR46)+('Cost-Effectiveness Level'!$D$3*AS46)+('Cost-Effectiveness Level'!$E$3*AT46)</f>
        <v>20970.90975681219</v>
      </c>
      <c r="AY46" s="290">
        <v>15712.159390565485</v>
      </c>
      <c r="AZ46" s="291">
        <v>18042.279519484327</v>
      </c>
      <c r="BA46" s="291">
        <v>24654.380310577206</v>
      </c>
      <c r="BB46" s="291">
        <v>28798.359214767068</v>
      </c>
      <c r="BC46" s="388">
        <v>680</v>
      </c>
      <c r="BD46" s="389">
        <f>('Cost-Effectiveness Level'!$B$3*AY46)+('Cost-Effectiveness Level'!$C$3*AZ46)+('Cost-Effectiveness Level'!$D$3*BA46)+('Cost-Effectiveness Level'!$E$3*BB46)</f>
        <v>19767.084676237915</v>
      </c>
      <c r="BG46" s="290">
        <v>12792.997363023733</v>
      </c>
      <c r="BH46" s="291">
        <v>14634.485789627894</v>
      </c>
      <c r="BI46" s="291">
        <v>20827.571051860534</v>
      </c>
      <c r="BJ46" s="291">
        <v>24489.59859361266</v>
      </c>
      <c r="BK46" s="388">
        <v>680</v>
      </c>
      <c r="BL46" s="389">
        <f>('Cost-Effectiveness Level'!$B$3*BG46)+('Cost-Effectiveness Level'!$C$3*BH46)+('Cost-Effectiveness Level'!$D$3*BI46)+('Cost-Effectiveness Level'!$E$3*BJ46)</f>
        <v>16307.215060064458</v>
      </c>
    </row>
    <row r="47" spans="1:64" ht="12.75">
      <c r="A47" s="397"/>
      <c r="B47" s="113">
        <f>SUM(B44:B46)</f>
        <v>1</v>
      </c>
      <c r="C47" s="398"/>
      <c r="D47" s="398">
        <f>SUM(D44:D46)</f>
        <v>8.605</v>
      </c>
      <c r="E47" s="325">
        <f>1/D47</f>
        <v>0.11621150493898895</v>
      </c>
      <c r="F47" s="410"/>
      <c r="T47" s="436" t="str">
        <f t="shared" si="17"/>
        <v>WALL R11</v>
      </c>
      <c r="U47" s="329">
        <f t="shared" si="18"/>
        <v>350.68970802919705</v>
      </c>
      <c r="V47" s="332">
        <f t="shared" si="19"/>
        <v>654.118032745393</v>
      </c>
      <c r="W47" s="395">
        <f>SUM(V$44:V47)</f>
        <v>1896.8117290550767</v>
      </c>
      <c r="X47" s="329">
        <f ca="1" t="shared" si="11"/>
        <v>8177.491709880214</v>
      </c>
      <c r="Y47" s="423">
        <f t="shared" si="14"/>
        <v>1838.4873614427452</v>
      </c>
      <c r="Z47" s="464" t="str">
        <f t="shared" si="20"/>
        <v>FLOOR R11</v>
      </c>
      <c r="AA47" s="329">
        <f t="shared" si="21"/>
        <v>575.8784008576782</v>
      </c>
      <c r="AB47" s="332">
        <f t="shared" si="22"/>
        <v>810</v>
      </c>
      <c r="AC47" s="395">
        <f>SUM(AB$44:AB47)</f>
        <v>1973.6899882565563</v>
      </c>
      <c r="AD47" s="329">
        <f ca="1" t="shared" si="12"/>
        <v>15721.566673004208</v>
      </c>
      <c r="AE47" s="423">
        <f t="shared" si="15"/>
        <v>2666.166766448534</v>
      </c>
      <c r="AF47" s="436" t="str">
        <f t="shared" si="23"/>
        <v>FLOOR R11</v>
      </c>
      <c r="AG47" s="329">
        <f t="shared" si="24"/>
        <v>936.6289553590824</v>
      </c>
      <c r="AH47" s="332">
        <f t="shared" si="25"/>
        <v>436.8</v>
      </c>
      <c r="AI47" s="537">
        <f>SUM(AH$44:AH47)</f>
        <v>1364.0806010746467</v>
      </c>
      <c r="AJ47" s="329">
        <f ca="1" t="shared" si="13"/>
        <v>25933.897021270106</v>
      </c>
      <c r="AK47" s="423">
        <f t="shared" si="16"/>
        <v>1427.3735477830742</v>
      </c>
      <c r="AQ47" s="290">
        <v>16084.324641078232</v>
      </c>
      <c r="AR47" s="291">
        <v>18479.37298564313</v>
      </c>
      <c r="AS47" s="291">
        <v>25057.54468209786</v>
      </c>
      <c r="AT47" s="291">
        <v>29122.209200117202</v>
      </c>
      <c r="AU47" s="388">
        <v>660</v>
      </c>
      <c r="AV47" s="389">
        <f>('Cost-Effectiveness Level'!$B$3*AQ47)+('Cost-Effectiveness Level'!$C$3*AR47)+('Cost-Effectiveness Level'!$D$3*AS47)+('Cost-Effectiveness Level'!$E$3*AT47)</f>
        <v>20177.048051567537</v>
      </c>
      <c r="AY47" s="290">
        <v>15073.337239964842</v>
      </c>
      <c r="AZ47" s="291">
        <v>17306.592440668035</v>
      </c>
      <c r="BA47" s="291">
        <v>23723.381189569292</v>
      </c>
      <c r="BB47" s="291">
        <v>27728.450043949604</v>
      </c>
      <c r="BC47" s="388">
        <v>660</v>
      </c>
      <c r="BD47" s="389">
        <f>('Cost-Effectiveness Level'!$B$3*AY47)+('Cost-Effectiveness Level'!$C$3*AZ47)+('Cost-Effectiveness Level'!$D$3*BA47)+('Cost-Effectiveness Level'!$E$3*BB47)</f>
        <v>18985.23146791679</v>
      </c>
      <c r="BG47" s="290">
        <v>12197.919718722533</v>
      </c>
      <c r="BH47" s="291">
        <v>13953.911514796368</v>
      </c>
      <c r="BI47" s="291">
        <v>19938.587752710224</v>
      </c>
      <c r="BJ47" s="291">
        <v>23469.70407266335</v>
      </c>
      <c r="BK47" s="388">
        <v>660</v>
      </c>
      <c r="BL47" s="389">
        <f>('Cost-Effectiveness Level'!$B$3*BG47)+('Cost-Effectiveness Level'!$C$3*BH47)+('Cost-Effectiveness Level'!$D$3*BI47)+('Cost-Effectiveness Level'!$E$3*BJ47)</f>
        <v>15574.671842953414</v>
      </c>
    </row>
    <row r="48" spans="1:64" ht="12.75">
      <c r="A48" s="397" t="s">
        <v>229</v>
      </c>
      <c r="B48" s="398"/>
      <c r="C48" s="325">
        <f>E47</f>
        <v>0.11621150493898895</v>
      </c>
      <c r="D48" s="325">
        <f>E47</f>
        <v>0.11621150493898895</v>
      </c>
      <c r="E48" s="325">
        <f>E47</f>
        <v>0.11621150493898895</v>
      </c>
      <c r="F48" s="410"/>
      <c r="T48" s="436" t="str">
        <f t="shared" si="17"/>
        <v>FLOOR R19</v>
      </c>
      <c r="U48" s="329">
        <f t="shared" si="18"/>
        <v>338.7897080291971</v>
      </c>
      <c r="V48" s="332">
        <f t="shared" si="19"/>
        <v>168.8311330778076</v>
      </c>
      <c r="W48" s="395">
        <f>SUM(V$44:V48)</f>
        <v>2065.642862132884</v>
      </c>
      <c r="X48" s="329">
        <f ca="1" t="shared" si="11"/>
        <v>7735.810539275577</v>
      </c>
      <c r="Y48" s="423">
        <f t="shared" si="14"/>
        <v>441.6811706046374</v>
      </c>
      <c r="Z48" s="464" t="str">
        <f t="shared" si="20"/>
        <v>WALL R11</v>
      </c>
      <c r="AA48" s="329">
        <f t="shared" si="21"/>
        <v>514.8426861313868</v>
      </c>
      <c r="AB48" s="332">
        <f t="shared" si="22"/>
        <v>816.436211241472</v>
      </c>
      <c r="AC48" s="395">
        <f>SUM(AB$44:AB48)</f>
        <v>2790.126199498028</v>
      </c>
      <c r="AD48" s="329">
        <f ca="1" t="shared" si="12"/>
        <v>13385.846534688117</v>
      </c>
      <c r="AE48" s="423">
        <f t="shared" si="15"/>
        <v>2335.720138316092</v>
      </c>
      <c r="AF48" s="436" t="str">
        <f t="shared" si="23"/>
        <v>WALL R11</v>
      </c>
      <c r="AG48" s="329">
        <f t="shared" si="24"/>
        <v>844.8037109489051</v>
      </c>
      <c r="AH48" s="332">
        <f t="shared" si="25"/>
        <v>1228.2883059330159</v>
      </c>
      <c r="AI48" s="537">
        <f>SUM(AH$44:AH48)</f>
        <v>2592.3689070076625</v>
      </c>
      <c r="AJ48" s="329">
        <f ca="1" t="shared" si="13"/>
        <v>22432.926648013134</v>
      </c>
      <c r="AK48" s="423">
        <f t="shared" si="16"/>
        <v>3500.9703732569724</v>
      </c>
      <c r="AQ48" s="290">
        <v>15432.34690887782</v>
      </c>
      <c r="AR48" s="291">
        <v>17733.636097275124</v>
      </c>
      <c r="AS48" s="291">
        <v>24116.319953120423</v>
      </c>
      <c r="AT48" s="291">
        <v>28045.32669205977</v>
      </c>
      <c r="AU48" s="388">
        <v>640</v>
      </c>
      <c r="AV48" s="389">
        <f>('Cost-Effectiveness Level'!$B$3*AQ48)+('Cost-Effectiveness Level'!$C$3*AR48)+('Cost-Effectiveness Level'!$D$3*AS48)+('Cost-Effectiveness Level'!$E$3*AT48)</f>
        <v>19384.63375329622</v>
      </c>
      <c r="AY48" s="290">
        <v>14436.888368004687</v>
      </c>
      <c r="AZ48" s="291">
        <v>16571.98945209493</v>
      </c>
      <c r="BA48" s="291">
        <v>22794.57954878406</v>
      </c>
      <c r="BB48" s="291">
        <v>26658.45297392324</v>
      </c>
      <c r="BC48" s="388">
        <v>640</v>
      </c>
      <c r="BD48" s="389">
        <f>('Cost-Effectiveness Level'!$B$3*AY48)+('Cost-Effectiveness Level'!$C$3*AZ48)+('Cost-Effectiveness Level'!$D$3*BA48)+('Cost-Effectiveness Level'!$E$3*BB48)</f>
        <v>18204.939935540584</v>
      </c>
      <c r="BG48" s="290">
        <v>11606.182244359801</v>
      </c>
      <c r="BH48" s="291">
        <v>13276.325813067682</v>
      </c>
      <c r="BI48" s="291">
        <v>19055.610899501906</v>
      </c>
      <c r="BJ48" s="291">
        <v>22455.493700556697</v>
      </c>
      <c r="BK48" s="388">
        <v>640</v>
      </c>
      <c r="BL48" s="389">
        <f>('Cost-Effectiveness Level'!$B$3*BG48)+('Cost-Effectiveness Level'!$C$3*BH48)+('Cost-Effectiveness Level'!$D$3*BI48)+('Cost-Effectiveness Level'!$E$3*BJ48)</f>
        <v>14846.076765309113</v>
      </c>
    </row>
    <row r="49" spans="1:64" ht="12.75">
      <c r="A49" s="397" t="s">
        <v>230</v>
      </c>
      <c r="B49" s="398"/>
      <c r="C49" s="329">
        <f>C42*C48</f>
        <v>208.48343986054618</v>
      </c>
      <c r="D49" s="329">
        <f>D42*D48</f>
        <v>296.3393375944218</v>
      </c>
      <c r="E49" s="329">
        <f>E42*E48</f>
        <v>403.02149912841367</v>
      </c>
      <c r="F49" s="410"/>
      <c r="T49" s="436" t="str">
        <f t="shared" si="17"/>
        <v>ATTIC R38</v>
      </c>
      <c r="U49" s="329">
        <f t="shared" si="18"/>
        <v>320.93970802919705</v>
      </c>
      <c r="V49" s="332">
        <f t="shared" si="19"/>
        <v>280.8095966433878</v>
      </c>
      <c r="W49" s="395">
        <f>SUM(V$44:V49)</f>
        <v>2346.452458776272</v>
      </c>
      <c r="X49" s="329">
        <f ca="1" t="shared" si="11"/>
        <v>7082.094168047857</v>
      </c>
      <c r="Y49" s="423">
        <f t="shared" si="14"/>
        <v>653.7163712277197</v>
      </c>
      <c r="Z49" s="464" t="str">
        <f t="shared" si="20"/>
        <v>FLOOR R19</v>
      </c>
      <c r="AA49" s="329">
        <f t="shared" si="21"/>
        <v>495.94268613138684</v>
      </c>
      <c r="AB49" s="332">
        <f t="shared" si="22"/>
        <v>268.14356430004733</v>
      </c>
      <c r="AC49" s="395">
        <f>SUM(AB$44:AB49)</f>
        <v>3058.2697637980755</v>
      </c>
      <c r="AD49" s="329">
        <f ca="1" t="shared" si="12"/>
        <v>12668.521952820971</v>
      </c>
      <c r="AE49" s="423">
        <f t="shared" si="15"/>
        <v>717.3245818671458</v>
      </c>
      <c r="AF49" s="436" t="str">
        <f t="shared" si="23"/>
        <v>FLOOR R19</v>
      </c>
      <c r="AG49" s="329">
        <f t="shared" si="24"/>
        <v>834.611710948905</v>
      </c>
      <c r="AH49" s="332">
        <f t="shared" si="25"/>
        <v>144.59889985958108</v>
      </c>
      <c r="AI49" s="537">
        <f>SUM(AH$44:AH49)</f>
        <v>2736.967806867244</v>
      </c>
      <c r="AJ49" s="329">
        <f ca="1" t="shared" si="13"/>
        <v>22047.468554707753</v>
      </c>
      <c r="AK49" s="423">
        <f t="shared" si="16"/>
        <v>385.4580933053803</v>
      </c>
      <c r="AQ49" s="290">
        <v>14782.332259009669</v>
      </c>
      <c r="AR49" s="291">
        <v>16989.59859361266</v>
      </c>
      <c r="AS49" s="291">
        <v>23175.827717550546</v>
      </c>
      <c r="AT49" s="291">
        <v>26969.23527688251</v>
      </c>
      <c r="AU49" s="388">
        <v>620</v>
      </c>
      <c r="AV49" s="389">
        <f>('Cost-Effectiveness Level'!$B$3*AQ49)+('Cost-Effectiveness Level'!$C$3*AR49)+('Cost-Effectiveness Level'!$D$3*AS49)+('Cost-Effectiveness Level'!$E$3*AT49)</f>
        <v>18593.68444184003</v>
      </c>
      <c r="AY49" s="290">
        <v>13804.57075886317</v>
      </c>
      <c r="AZ49" s="291">
        <v>15838.14825666569</v>
      </c>
      <c r="BA49" s="291">
        <v>21870.377966598302</v>
      </c>
      <c r="BB49" s="291">
        <v>25589.569293876357</v>
      </c>
      <c r="BC49" s="388">
        <v>620</v>
      </c>
      <c r="BD49" s="389">
        <f>('Cost-Effectiveness Level'!$B$3*AY49)+('Cost-Effectiveness Level'!$C$3*AZ49)+('Cost-Effectiveness Level'!$D$3*BA49)+('Cost-Effectiveness Level'!$E$3*BB49)</f>
        <v>17427.061236448873</v>
      </c>
      <c r="BG49" s="290">
        <v>11017.491942572517</v>
      </c>
      <c r="BH49" s="291">
        <v>12605.215353061823</v>
      </c>
      <c r="BI49" s="291">
        <v>18178.523293290364</v>
      </c>
      <c r="BJ49" s="291">
        <v>21443.334309991213</v>
      </c>
      <c r="BK49" s="388">
        <v>620</v>
      </c>
      <c r="BL49" s="389">
        <f>('Cost-Effectiveness Level'!$B$3*BG49)+('Cost-Effectiveness Level'!$C$3*BH49)+('Cost-Effectiveness Level'!$D$3*BI49)+('Cost-Effectiveness Level'!$E$3*BJ49)</f>
        <v>14122.903603867568</v>
      </c>
    </row>
    <row r="50" spans="1:64" ht="13.5" thickBot="1">
      <c r="A50" s="397" t="s">
        <v>493</v>
      </c>
      <c r="B50" s="398"/>
      <c r="C50" s="329">
        <f>F35</f>
        <v>55.08</v>
      </c>
      <c r="D50" s="329">
        <f>G35</f>
        <v>87.47999999999999</v>
      </c>
      <c r="E50" s="329">
        <f>H35</f>
        <v>141.5232</v>
      </c>
      <c r="F50" s="411"/>
      <c r="T50" s="436" t="str">
        <f t="shared" si="17"/>
        <v>FLOOR R30</v>
      </c>
      <c r="U50" s="329">
        <f t="shared" si="18"/>
        <v>310.73970802919706</v>
      </c>
      <c r="V50" s="332">
        <f t="shared" si="19"/>
        <v>212.5</v>
      </c>
      <c r="W50" s="395">
        <f>SUM(V$44:V50)</f>
        <v>2558.952458776272</v>
      </c>
      <c r="X50" s="329">
        <f ca="1" t="shared" si="11"/>
        <v>6712.0474634555285</v>
      </c>
      <c r="Y50" s="423">
        <f t="shared" si="14"/>
        <v>370.04670459232875</v>
      </c>
      <c r="Z50" s="464" t="str">
        <f t="shared" si="20"/>
        <v>ATTIC R38</v>
      </c>
      <c r="AA50" s="329">
        <f t="shared" si="21"/>
        <v>476.0976861313868</v>
      </c>
      <c r="AB50" s="332">
        <f t="shared" si="22"/>
        <v>312.1941986211782</v>
      </c>
      <c r="AC50" s="395">
        <f>SUM(AB$44:AB50)</f>
        <v>3370.4639624192537</v>
      </c>
      <c r="AD50" s="329">
        <f ca="1" t="shared" si="12"/>
        <v>11919.344349733467</v>
      </c>
      <c r="AE50" s="423">
        <f t="shared" si="15"/>
        <v>749.1776030875044</v>
      </c>
      <c r="AF50" s="436" t="str">
        <f t="shared" si="23"/>
        <v>ATTIC R38</v>
      </c>
      <c r="AG50" s="329">
        <f t="shared" si="24"/>
        <v>819.323710948905</v>
      </c>
      <c r="AH50" s="332">
        <f t="shared" si="25"/>
        <v>240.50516041927804</v>
      </c>
      <c r="AI50" s="537">
        <f>SUM(AH$44:AH50)</f>
        <v>2977.472967286522</v>
      </c>
      <c r="AJ50" s="329">
        <f ca="1" t="shared" si="13"/>
        <v>21470.751625038796</v>
      </c>
      <c r="AK50" s="423">
        <f t="shared" si="16"/>
        <v>576.7169296689572</v>
      </c>
      <c r="AQ50" s="290">
        <v>14134.016993847057</v>
      </c>
      <c r="AR50" s="291">
        <v>16246.9088778201</v>
      </c>
      <c r="AS50" s="291">
        <v>22236.62467037797</v>
      </c>
      <c r="AT50" s="291">
        <v>25894.550249047763</v>
      </c>
      <c r="AU50" s="388">
        <v>600</v>
      </c>
      <c r="AV50" s="389">
        <f>('Cost-Effectiveness Level'!$B$3*AQ50)+('Cost-Effectiveness Level'!$C$3*AR50)+('Cost-Effectiveness Level'!$D$3*AS50)+('Cost-Effectiveness Level'!$E$3*AT50)</f>
        <v>17804.14151772634</v>
      </c>
      <c r="AY50" s="290">
        <v>13175.417521242309</v>
      </c>
      <c r="AZ50" s="291">
        <v>15108.233225900969</v>
      </c>
      <c r="BA50" s="291">
        <v>20947.582771755056</v>
      </c>
      <c r="BB50" s="291">
        <v>24521.71110460006</v>
      </c>
      <c r="BC50" s="388">
        <v>600</v>
      </c>
      <c r="BD50" s="389">
        <f>('Cost-Effectiveness Level'!$B$3*AY50)+('Cost-Effectiveness Level'!$C$3*AZ50)+('Cost-Effectiveness Level'!$D$3*BA50)+('Cost-Effectiveness Level'!$E$3*BB50)</f>
        <v>16652.181365367713</v>
      </c>
      <c r="BG50" s="290">
        <v>10433.138001757985</v>
      </c>
      <c r="BH50" s="291">
        <v>11942.631116319953</v>
      </c>
      <c r="BI50" s="291">
        <v>17309.317316144155</v>
      </c>
      <c r="BJ50" s="291">
        <v>20437.972458247878</v>
      </c>
      <c r="BK50" s="388">
        <v>600</v>
      </c>
      <c r="BL50" s="389">
        <f>('Cost-Effectiveness Level'!$B$3*BG50)+('Cost-Effectiveness Level'!$C$3*BH50)+('Cost-Effectiveness Level'!$D$3*BI50)+('Cost-Effectiveness Level'!$E$3*BJ50)</f>
        <v>13407.171110460007</v>
      </c>
    </row>
    <row r="51" spans="1:64" ht="13.5" thickBot="1">
      <c r="A51" s="397" t="s">
        <v>231</v>
      </c>
      <c r="B51" s="398"/>
      <c r="C51" s="329">
        <f>C49+C50</f>
        <v>263.56343986054617</v>
      </c>
      <c r="D51" s="329">
        <f>D49+D50</f>
        <v>383.81933759442177</v>
      </c>
      <c r="E51" s="329">
        <f>E49+E50</f>
        <v>544.5446991284136</v>
      </c>
      <c r="F51" s="370">
        <f>SUMPRODUCT('Cost-Effectiveness Level'!$I$3:$K$3,C51:E51)</f>
        <v>427.27280989192326</v>
      </c>
      <c r="T51" s="436" t="str">
        <f t="shared" si="17"/>
        <v>CLASS 35 PRIME WINDOW (Energy Star)</v>
      </c>
      <c r="U51" s="329">
        <f t="shared" si="18"/>
        <v>239.77999999999997</v>
      </c>
      <c r="V51" s="332">
        <f t="shared" si="19"/>
        <v>1505.1622909598884</v>
      </c>
      <c r="W51" s="395">
        <f>SUM(V$44:V51)</f>
        <v>4064.114749736161</v>
      </c>
      <c r="X51" s="329">
        <f ca="1" t="shared" si="11"/>
        <v>4209.98841488426</v>
      </c>
      <c r="Y51" s="423">
        <f t="shared" si="14"/>
        <v>2502.0590485712682</v>
      </c>
      <c r="Z51" s="464" t="str">
        <f t="shared" si="20"/>
        <v>VAULT R38</v>
      </c>
      <c r="AA51" s="329">
        <f t="shared" si="21"/>
        <v>468.8076861313868</v>
      </c>
      <c r="AB51" s="332">
        <f t="shared" si="22"/>
        <v>133.79751369479067</v>
      </c>
      <c r="AC51" s="395">
        <f>SUM(AB$44:AB51)</f>
        <v>3504.2614761140444</v>
      </c>
      <c r="AD51" s="329">
        <f ca="1" t="shared" si="12"/>
        <v>11645.49570264886</v>
      </c>
      <c r="AE51" s="423">
        <f t="shared" si="15"/>
        <v>273.84864708460736</v>
      </c>
      <c r="AF51" s="436" t="str">
        <f t="shared" si="23"/>
        <v>FLOOR R30</v>
      </c>
      <c r="AG51" s="329">
        <f t="shared" si="24"/>
        <v>810.587710948905</v>
      </c>
      <c r="AH51" s="332">
        <f t="shared" si="25"/>
        <v>182</v>
      </c>
      <c r="AI51" s="537">
        <f>SUM(AH$44:AH51)</f>
        <v>3159.472967286522</v>
      </c>
      <c r="AJ51" s="329">
        <f ca="1" t="shared" si="13"/>
        <v>21142.79903669976</v>
      </c>
      <c r="AK51" s="423">
        <f t="shared" si="16"/>
        <v>327.9525883390379</v>
      </c>
      <c r="AQ51" s="290">
        <v>13486.610020509817</v>
      </c>
      <c r="AR51" s="291">
        <v>15505.068854380312</v>
      </c>
      <c r="AS51" s="291">
        <v>21299.179607383536</v>
      </c>
      <c r="AT51" s="291">
        <v>24819.63082332259</v>
      </c>
      <c r="AU51" s="388">
        <v>580</v>
      </c>
      <c r="AV51" s="389">
        <f>('Cost-Effectiveness Level'!$B$3*AQ51)+('Cost-Effectiveness Level'!$C$3*AR51)+('Cost-Effectiveness Level'!$D$3*AS51)+('Cost-Effectiveness Level'!$E$3*AT51)</f>
        <v>17015.632874304134</v>
      </c>
      <c r="AY51" s="290">
        <v>12547.377673600937</v>
      </c>
      <c r="AZ51" s="291">
        <v>14382.390858482275</v>
      </c>
      <c r="BA51" s="291">
        <v>20026.54556108995</v>
      </c>
      <c r="BB51" s="291">
        <v>23454.995605039556</v>
      </c>
      <c r="BC51" s="388">
        <v>580</v>
      </c>
      <c r="BD51" s="389">
        <f>('Cost-Effectiveness Level'!$B$3*AY51)+('Cost-Effectiveness Level'!$C$3*AZ51)+('Cost-Effectiveness Level'!$D$3*BA51)+('Cost-Effectiveness Level'!$E$3*BB51)</f>
        <v>15880.05713448579</v>
      </c>
      <c r="BG51" s="290">
        <v>9853.0911221799</v>
      </c>
      <c r="BH51" s="291">
        <v>11289.012598886611</v>
      </c>
      <c r="BI51" s="291">
        <v>16446.76237913859</v>
      </c>
      <c r="BJ51" s="291">
        <v>19440.785232932903</v>
      </c>
      <c r="BK51" s="388">
        <v>580</v>
      </c>
      <c r="BL51" s="389">
        <f>('Cost-Effectiveness Level'!$B$3*BG51)+('Cost-Effectiveness Level'!$C$3*BH51)+('Cost-Effectiveness Level'!$D$3*BI51)+('Cost-Effectiveness Level'!$E$3*BJ51)</f>
        <v>12698.854380310579</v>
      </c>
    </row>
    <row r="52" spans="1:64" ht="13.5" thickBot="1">
      <c r="A52" s="413" t="s">
        <v>232</v>
      </c>
      <c r="B52" s="414"/>
      <c r="C52" s="415">
        <f ca="1">IF(ISNA(INDEX($AU$5:$AV$73,MATCH(C51,$AU$5:$AU$73,0),1)),TREND(OFFSET(INDEX($AU$5:$AV$73,MATCH(C51,$AU$5:$AU$73,-1),2),0,0,2,1),OFFSET(INDEX($AU$5:$AV$73,MATCH(C51,$AU$5:$AU$73,-1),1),0,0,2,1),C51),INDEX($AU$5:$AV$73,MATCH(C51,$AU$5:$AU$73,0),2))</f>
        <v>5031.598641532442</v>
      </c>
      <c r="D52" s="415">
        <f ca="1">IF(ISNA(INDEX($BC$5:$BD$73,MATCH(D51,$BC$5:$BC$73,0),1)),TREND(OFFSET(INDEX($BC$5:$BD$73,MATCH(D51,$BC$5:$BC$73,-1),2),0,0,2,1),OFFSET(INDEX($BC$5:$BD$73,MATCH(D51,$BC$5:$BC$73,-1),1),0,0,2,1),D51),INDEX($BC$5:$BD$73,MATCH(D51,$BC$5:$BC$73,0),2))</f>
        <v>8510.736469371552</v>
      </c>
      <c r="E52" s="415">
        <f ca="1">IF(ISNA(INDEX($BK$5:$BL$73,MATCH(E51,$BK$5:$BK$73,0),1)),TREND(OFFSET(INDEX($BK$5:$BL$73,MATCH(E51,$BK$5:$BK$73,-1),2),0,0,2,1),OFFSET(INDEX($BK$5:$BL$73,MATCH(E51,$BK$5:$BK$73,-1),1),0,0,2,1),E51),INDEX($BK$5:$BL$73,MATCH(E51,$BK$5:$BK$73,0),2))</f>
        <v>11458.039821386814</v>
      </c>
      <c r="F52" s="370">
        <f>SUMPRODUCT('Cost-Effectiveness Level'!$I$3:$K$3,C52:E52)</f>
        <v>9052.77631165014</v>
      </c>
      <c r="T52" s="436" t="str">
        <f t="shared" si="17"/>
        <v>FLOOR R38</v>
      </c>
      <c r="U52" s="329">
        <f t="shared" si="18"/>
        <v>236.37999999999997</v>
      </c>
      <c r="V52" s="332">
        <f t="shared" si="19"/>
        <v>110.5</v>
      </c>
      <c r="W52" s="395">
        <f>SUM(V$44:V52)</f>
        <v>4174.614749736161</v>
      </c>
      <c r="X52" s="329">
        <f ca="1" t="shared" si="11"/>
        <v>4095.51909170817</v>
      </c>
      <c r="Y52" s="423">
        <f t="shared" si="14"/>
        <v>114.46932317609026</v>
      </c>
      <c r="Z52" s="464" t="str">
        <f t="shared" si="20"/>
        <v>FLOOR R30</v>
      </c>
      <c r="AA52" s="329">
        <f t="shared" si="21"/>
        <v>452.6076861313868</v>
      </c>
      <c r="AB52" s="332">
        <f t="shared" si="22"/>
        <v>337.5</v>
      </c>
      <c r="AC52" s="395">
        <f>SUM(AB$44:AB52)</f>
        <v>3841.7614761140444</v>
      </c>
      <c r="AD52" s="329">
        <f ca="1" t="shared" si="12"/>
        <v>11041.438538111588</v>
      </c>
      <c r="AE52" s="423">
        <f t="shared" si="15"/>
        <v>604.0571645372711</v>
      </c>
      <c r="AF52" s="436" t="str">
        <f t="shared" si="23"/>
        <v>CLASS 35 PRIME WINDOW (Energy Star)</v>
      </c>
      <c r="AG52" s="329">
        <f t="shared" si="24"/>
        <v>572.7972</v>
      </c>
      <c r="AH52" s="332">
        <f t="shared" si="25"/>
        <v>5043.894911195371</v>
      </c>
      <c r="AI52" s="537">
        <f>SUM(AH$44:AH52)</f>
        <v>8203.367878481893</v>
      </c>
      <c r="AJ52" s="329">
        <f ca="1" t="shared" si="13"/>
        <v>12445.988194198644</v>
      </c>
      <c r="AK52" s="423">
        <f t="shared" si="16"/>
        <v>8696.810842501114</v>
      </c>
      <c r="AQ52" s="290">
        <v>12841.664225021976</v>
      </c>
      <c r="AR52" s="291">
        <v>14764.693817755642</v>
      </c>
      <c r="AS52" s="291">
        <v>20362.261939642543</v>
      </c>
      <c r="AT52" s="291">
        <v>23745.150893641956</v>
      </c>
      <c r="AU52" s="388">
        <v>560</v>
      </c>
      <c r="AV52" s="389">
        <f>('Cost-Effectiveness Level'!$B$3*AQ52)+('Cost-Effectiveness Level'!$C$3*AR52)+('Cost-Effectiveness Level'!$D$3*AS52)+('Cost-Effectiveness Level'!$E$3*AT52)</f>
        <v>16228.50278347495</v>
      </c>
      <c r="AY52" s="290">
        <v>11919.455024904775</v>
      </c>
      <c r="AZ52" s="291">
        <v>13660.474655728098</v>
      </c>
      <c r="BA52" s="291">
        <v>19109.14151772634</v>
      </c>
      <c r="BB52" s="291">
        <v>22391.415177263403</v>
      </c>
      <c r="BC52" s="388">
        <v>560</v>
      </c>
      <c r="BD52" s="389">
        <f>('Cost-Effectiveness Level'!$B$3*AY52)+('Cost-Effectiveness Level'!$C$3*AZ52)+('Cost-Effectiveness Level'!$D$3*BA52)+('Cost-Effectiveness Level'!$E$3*BB52)</f>
        <v>15110.98447113976</v>
      </c>
      <c r="BG52" s="290">
        <v>9273.981834163493</v>
      </c>
      <c r="BH52" s="291">
        <v>10644.389100498098</v>
      </c>
      <c r="BI52" s="291">
        <v>15588.51450336947</v>
      </c>
      <c r="BJ52" s="291">
        <v>18452.036331673018</v>
      </c>
      <c r="BK52" s="388">
        <v>560</v>
      </c>
      <c r="BL52" s="389">
        <f>('Cost-Effectiveness Level'!$B$3*BG52)+('Cost-Effectiveness Level'!$C$3*BH52)+('Cost-Effectiveness Level'!$D$3*BI52)+('Cost-Effectiveness Level'!$E$3*BJ52)</f>
        <v>11996.721359507765</v>
      </c>
    </row>
    <row r="53" spans="20:64" ht="12.75">
      <c r="T53" s="436" t="str">
        <f t="shared" si="17"/>
        <v>INFILTRATION @ O.35 ACH</v>
      </c>
      <c r="U53" s="329">
        <f t="shared" si="18"/>
        <v>224.13999999999996</v>
      </c>
      <c r="V53" s="332">
        <f t="shared" si="19"/>
        <v>425</v>
      </c>
      <c r="W53" s="395">
        <f>SUM(V$44:V53)</f>
        <v>4599.614749736161</v>
      </c>
      <c r="X53" s="329">
        <f ca="1" t="shared" si="11"/>
        <v>3683.429528274247</v>
      </c>
      <c r="Y53" s="423">
        <f t="shared" si="14"/>
        <v>412.0895634339231</v>
      </c>
      <c r="Z53" s="464" t="str">
        <f t="shared" si="20"/>
        <v>CLASS 35 PRIME WINDOW (Energy Star)</v>
      </c>
      <c r="AA53" s="329">
        <f t="shared" si="21"/>
        <v>340.1289999999999</v>
      </c>
      <c r="AB53" s="332">
        <f t="shared" si="22"/>
        <v>2385.8423548193973</v>
      </c>
      <c r="AC53" s="395">
        <f>SUM(AB$44:AB53)</f>
        <v>6227.603830933442</v>
      </c>
      <c r="AD53" s="329">
        <f ca="1" t="shared" si="12"/>
        <v>6946.747809844722</v>
      </c>
      <c r="AE53" s="423">
        <f t="shared" si="15"/>
        <v>4094.6907282668662</v>
      </c>
      <c r="AF53" s="436" t="str">
        <f t="shared" si="23"/>
        <v>BSMT WALL R21</v>
      </c>
      <c r="AG53" s="329">
        <f t="shared" si="24"/>
        <v>554.0052</v>
      </c>
      <c r="AH53" s="332">
        <f t="shared" si="25"/>
        <v>406.08</v>
      </c>
      <c r="AI53" s="537">
        <f>SUM(AH$44:AH53)</f>
        <v>8609.447878481893</v>
      </c>
      <c r="AJ53" s="329">
        <f ca="1" t="shared" si="13"/>
        <v>11787.77763776742</v>
      </c>
      <c r="AK53" s="423">
        <f t="shared" si="16"/>
        <v>658.2105564312242</v>
      </c>
      <c r="AQ53" s="290">
        <v>12200.11719894521</v>
      </c>
      <c r="AR53" s="291">
        <v>14026.28186346323</v>
      </c>
      <c r="AS53" s="291">
        <v>19426.926457661884</v>
      </c>
      <c r="AT53" s="291">
        <v>22672.223849985352</v>
      </c>
      <c r="AU53" s="388">
        <v>540</v>
      </c>
      <c r="AV53" s="389">
        <f>('Cost-Effectiveness Level'!$B$3*AQ53)+('Cost-Effectiveness Level'!$C$3*AR53)+('Cost-Effectiveness Level'!$D$3*AS53)+('Cost-Effectiveness Level'!$E$3*AT53)</f>
        <v>15443.507178435395</v>
      </c>
      <c r="AY53" s="290">
        <v>11294.403750366248</v>
      </c>
      <c r="AZ53" s="291">
        <v>12941.781423967186</v>
      </c>
      <c r="BA53" s="291">
        <v>18194.90184588339</v>
      </c>
      <c r="BB53" s="291">
        <v>21329.35833577498</v>
      </c>
      <c r="BC53" s="388">
        <v>540</v>
      </c>
      <c r="BD53" s="389">
        <f>('Cost-Effectiveness Level'!$B$3*AY53)+('Cost-Effectiveness Level'!$C$3*AZ53)+('Cost-Effectiveness Level'!$D$3*BA53)+('Cost-Effectiveness Level'!$E$3*BB53)</f>
        <v>14344.96484031644</v>
      </c>
      <c r="BG53" s="290">
        <v>8703.838265455612</v>
      </c>
      <c r="BH53" s="291">
        <v>10003.603867565193</v>
      </c>
      <c r="BI53" s="291">
        <v>14732.610606504542</v>
      </c>
      <c r="BJ53" s="291">
        <v>17478.318195136246</v>
      </c>
      <c r="BK53" s="388">
        <v>540</v>
      </c>
      <c r="BL53" s="389">
        <f>('Cost-Effectiveness Level'!$B$3*BG53)+('Cost-Effectiveness Level'!$C$3*BH53)+('Cost-Effectiveness Level'!$D$3*BI53)+('Cost-Effectiveness Level'!$E$3*BJ53)</f>
        <v>11299.638148256665</v>
      </c>
    </row>
    <row r="54" spans="1:64" ht="13.5" thickBot="1">
      <c r="A54"/>
      <c r="B54"/>
      <c r="C54"/>
      <c r="D54"/>
      <c r="E54"/>
      <c r="F54"/>
      <c r="T54" s="436" t="str">
        <f t="shared" si="17"/>
        <v>ATTIC R49</v>
      </c>
      <c r="U54" s="329">
        <f t="shared" si="18"/>
        <v>219.88999999999996</v>
      </c>
      <c r="V54" s="332">
        <f t="shared" si="19"/>
        <v>154.67313911059014</v>
      </c>
      <c r="W54" s="395">
        <f>SUM(V$44:V54)</f>
        <v>4754.287888846751</v>
      </c>
      <c r="X54" s="329">
        <f ca="1" t="shared" si="11"/>
        <v>3540.4634698212762</v>
      </c>
      <c r="Y54" s="423">
        <f t="shared" si="14"/>
        <v>142.96605845297063</v>
      </c>
      <c r="Z54" s="464" t="str">
        <f t="shared" si="20"/>
        <v>FLOOR R38</v>
      </c>
      <c r="AA54" s="329">
        <f t="shared" si="21"/>
        <v>334.7289999999999</v>
      </c>
      <c r="AB54" s="332">
        <f t="shared" si="22"/>
        <v>175.5</v>
      </c>
      <c r="AC54" s="395">
        <f>SUM(AB$44:AB54)</f>
        <v>6403.103830933442</v>
      </c>
      <c r="AD54" s="329">
        <f ca="1" t="shared" si="12"/>
        <v>6757.040577644302</v>
      </c>
      <c r="AE54" s="423">
        <f t="shared" si="15"/>
        <v>189.70723220041964</v>
      </c>
      <c r="AF54" s="436" t="str">
        <f t="shared" si="23"/>
        <v>FLOOR R38</v>
      </c>
      <c r="AG54" s="329">
        <f t="shared" si="24"/>
        <v>551.0931999999999</v>
      </c>
      <c r="AH54" s="332">
        <f t="shared" si="25"/>
        <v>94.64</v>
      </c>
      <c r="AI54" s="537">
        <f>SUM(AH$44:AH54)</f>
        <v>8704.087878481892</v>
      </c>
      <c r="AJ54" s="329">
        <f ca="1" t="shared" si="13"/>
        <v>11686.282322209212</v>
      </c>
      <c r="AK54" s="423">
        <f t="shared" si="16"/>
        <v>101.49531555820795</v>
      </c>
      <c r="AQ54" s="290">
        <v>11561.08995019045</v>
      </c>
      <c r="AR54" s="291">
        <v>13289.51069440375</v>
      </c>
      <c r="AS54" s="291">
        <v>18493.261060650457</v>
      </c>
      <c r="AT54" s="291">
        <v>21602.959273366538</v>
      </c>
      <c r="AU54" s="388">
        <v>520</v>
      </c>
      <c r="AV54" s="389">
        <f>('Cost-Effectiveness Level'!$B$3*AQ54)+('Cost-Effectiveness Level'!$C$3*AR54)+('Cost-Effectiveness Level'!$D$3*AS54)+('Cost-Effectiveness Level'!$E$3*AT54)</f>
        <v>14660.436566070906</v>
      </c>
      <c r="AY54" s="290">
        <v>10672.780544975096</v>
      </c>
      <c r="AZ54" s="291">
        <v>12225.725168473486</v>
      </c>
      <c r="BA54" s="291">
        <v>17283.79724582479</v>
      </c>
      <c r="BB54" s="291">
        <v>20268.766481101673</v>
      </c>
      <c r="BC54" s="388">
        <v>520</v>
      </c>
      <c r="BD54" s="389">
        <f>('Cost-Effectiveness Level'!$B$3*AY54)+('Cost-Effectiveness Level'!$C$3*AZ54)+('Cost-Effectiveness Level'!$D$3*BA54)+('Cost-Effectiveness Level'!$E$3*BB54)</f>
        <v>13581.806328743043</v>
      </c>
      <c r="BG54" s="290">
        <v>8143.158511573396</v>
      </c>
      <c r="BH54" s="291">
        <v>9368.825080574275</v>
      </c>
      <c r="BI54" s="291">
        <v>13885.965426311164</v>
      </c>
      <c r="BJ54" s="291">
        <v>16512.276589510697</v>
      </c>
      <c r="BK54" s="388">
        <v>520</v>
      </c>
      <c r="BL54" s="389">
        <f>('Cost-Effectiveness Level'!$B$3*BG54)+('Cost-Effectiveness Level'!$C$3*BH54)+('Cost-Effectiveness Level'!$D$3*BI54)+('Cost-Effectiveness Level'!$E$3*BJ54)</f>
        <v>10610.149428655142</v>
      </c>
    </row>
    <row r="55" spans="1:64" ht="13.5" thickBot="1">
      <c r="A55" s="742" t="s">
        <v>562</v>
      </c>
      <c r="B55" s="717"/>
      <c r="C55" s="717"/>
      <c r="D55" s="718"/>
      <c r="E55" s="742" t="s">
        <v>546</v>
      </c>
      <c r="F55" s="717"/>
      <c r="G55" s="717"/>
      <c r="H55" s="718"/>
      <c r="I55" s="742" t="s">
        <v>547</v>
      </c>
      <c r="J55" s="717"/>
      <c r="K55" s="717"/>
      <c r="L55" s="718"/>
      <c r="M55" s="742" t="s">
        <v>549</v>
      </c>
      <c r="N55" s="717"/>
      <c r="O55" s="717"/>
      <c r="P55" s="718"/>
      <c r="T55" s="436" t="str">
        <f t="shared" si="17"/>
        <v>CLASS 25 PRIME WINDOW </v>
      </c>
      <c r="U55" s="329">
        <f t="shared" si="18"/>
        <v>210.95999999999995</v>
      </c>
      <c r="V55" s="332">
        <f t="shared" si="19"/>
        <v>451.2</v>
      </c>
      <c r="W55" s="395">
        <f>SUM(V$44:V55)</f>
        <v>5205.487888846751</v>
      </c>
      <c r="X55" s="329">
        <f ca="1" t="shared" si="11"/>
        <v>3249.603322590095</v>
      </c>
      <c r="Y55" s="423">
        <f t="shared" si="14"/>
        <v>290.86014723118114</v>
      </c>
      <c r="Z55" s="464" t="str">
        <f t="shared" si="20"/>
        <v>ATTIC R49</v>
      </c>
      <c r="AA55" s="329">
        <f t="shared" si="21"/>
        <v>330.0039999999999</v>
      </c>
      <c r="AB55" s="332">
        <f t="shared" si="22"/>
        <v>171.9601370111855</v>
      </c>
      <c r="AC55" s="395">
        <f>SUM(AB$44:AB55)</f>
        <v>6575.063967944628</v>
      </c>
      <c r="AD55" s="329">
        <f ca="1" t="shared" si="12"/>
        <v>6591.100045121591</v>
      </c>
      <c r="AE55" s="423">
        <f t="shared" si="15"/>
        <v>165.94053252271078</v>
      </c>
      <c r="AF55" s="436" t="str">
        <f t="shared" si="23"/>
        <v>ATTIC R49</v>
      </c>
      <c r="AG55" s="329">
        <f t="shared" si="24"/>
        <v>547.4531999999999</v>
      </c>
      <c r="AH55" s="332">
        <f t="shared" si="25"/>
        <v>132.47299443824662</v>
      </c>
      <c r="AI55" s="537">
        <f>SUM(AH$44:AH55)</f>
        <v>8836.56087292014</v>
      </c>
      <c r="AJ55" s="329">
        <f ca="1" t="shared" si="13"/>
        <v>11559.413177761457</v>
      </c>
      <c r="AK55" s="423">
        <f t="shared" si="16"/>
        <v>126.86914444775539</v>
      </c>
      <c r="AQ55" s="290">
        <v>10925.109874011136</v>
      </c>
      <c r="AR55" s="291">
        <v>12555.376501611487</v>
      </c>
      <c r="AS55" s="291">
        <v>17561.08995019045</v>
      </c>
      <c r="AT55" s="291">
        <v>20535.980076179316</v>
      </c>
      <c r="AU55" s="388">
        <v>500</v>
      </c>
      <c r="AV55" s="389">
        <f>('Cost-Effectiveness Level'!$B$3*AQ55)+('Cost-Effectiveness Level'!$C$3*AR55)+('Cost-Effectiveness Level'!$D$3*AS55)+('Cost-Effectiveness Level'!$E$3*AT55)</f>
        <v>13879.78171696455</v>
      </c>
      <c r="AY55" s="290">
        <v>10052.915323762087</v>
      </c>
      <c r="AZ55" s="291">
        <v>11513.712276589513</v>
      </c>
      <c r="BA55" s="291">
        <v>16375.388221506006</v>
      </c>
      <c r="BB55" s="291">
        <v>19211.807793729855</v>
      </c>
      <c r="BC55" s="388">
        <v>500</v>
      </c>
      <c r="BD55" s="389">
        <f>('Cost-Effectiveness Level'!$B$3*AY55)+('Cost-Effectiveness Level'!$C$3*AZ55)+('Cost-Effectiveness Level'!$D$3*BA55)+('Cost-Effectiveness Level'!$E$3*BB55)</f>
        <v>12821.876648110168</v>
      </c>
      <c r="BG55" s="290">
        <v>7590.448285965427</v>
      </c>
      <c r="BH55" s="291">
        <v>8739.26164664518</v>
      </c>
      <c r="BI55" s="291">
        <v>13046.498681511866</v>
      </c>
      <c r="BJ55" s="291">
        <v>15553.970114268972</v>
      </c>
      <c r="BK55" s="388">
        <v>500</v>
      </c>
      <c r="BL55" s="389">
        <f>('Cost-Effectiveness Level'!$B$3*BG55)+('Cost-Effectiveness Level'!$C$3*BH55)+('Cost-Effectiveness Level'!$D$3*BI55)+('Cost-Effectiveness Level'!$E$3*BJ55)</f>
        <v>9927.04365660709</v>
      </c>
    </row>
    <row r="56" spans="1:64" ht="51">
      <c r="A56" s="566" t="s">
        <v>540</v>
      </c>
      <c r="B56" s="567" t="s">
        <v>536</v>
      </c>
      <c r="C56" s="565" t="s">
        <v>537</v>
      </c>
      <c r="D56" s="565" t="s">
        <v>538</v>
      </c>
      <c r="E56" s="567">
        <v>850</v>
      </c>
      <c r="F56" s="567">
        <v>1350</v>
      </c>
      <c r="G56" s="567">
        <v>2184</v>
      </c>
      <c r="H56" s="568">
        <f>F41</f>
        <v>1600.28</v>
      </c>
      <c r="I56" s="567">
        <v>850</v>
      </c>
      <c r="J56" s="567">
        <v>1350</v>
      </c>
      <c r="K56" s="567">
        <v>2184</v>
      </c>
      <c r="L56" s="568">
        <f>H56</f>
        <v>1600.28</v>
      </c>
      <c r="M56" s="567">
        <v>850</v>
      </c>
      <c r="N56" s="567">
        <v>1350</v>
      </c>
      <c r="O56" s="567">
        <v>2184</v>
      </c>
      <c r="P56" s="568">
        <f>L56</f>
        <v>1600.28</v>
      </c>
      <c r="T56" s="436" t="str">
        <f t="shared" si="17"/>
        <v>DOOR R5</v>
      </c>
      <c r="U56" s="329">
        <f t="shared" si="18"/>
        <v>199.75999999999996</v>
      </c>
      <c r="V56" s="332">
        <f t="shared" si="19"/>
        <v>600.46875</v>
      </c>
      <c r="W56" s="395">
        <f>SUM(V$44:V56)</f>
        <v>5805.956638846751</v>
      </c>
      <c r="X56" s="329">
        <f ca="1" t="shared" si="11"/>
        <v>2885.0533313800197</v>
      </c>
      <c r="Y56" s="423">
        <f t="shared" si="14"/>
        <v>364.5499912100754</v>
      </c>
      <c r="Z56" s="464" t="str">
        <f t="shared" si="20"/>
        <v>CLASS 25 PRIME WINDOW </v>
      </c>
      <c r="AA56" s="329">
        <f t="shared" si="21"/>
        <v>315.84899999999993</v>
      </c>
      <c r="AB56" s="332">
        <f t="shared" si="22"/>
        <v>715.2</v>
      </c>
      <c r="AC56" s="395">
        <f>SUM(AB$44:AB56)</f>
        <v>7290.263967944627</v>
      </c>
      <c r="AD56" s="329">
        <f ca="1" t="shared" si="12"/>
        <v>6096.665673600949</v>
      </c>
      <c r="AE56" s="423">
        <f t="shared" si="15"/>
        <v>494.43437152064234</v>
      </c>
      <c r="AF56" s="436" t="str">
        <f t="shared" si="23"/>
        <v>CLASS 25 PRIME WINDOW </v>
      </c>
      <c r="AG56" s="329">
        <f t="shared" si="24"/>
        <v>517.5282</v>
      </c>
      <c r="AH56" s="332">
        <f t="shared" si="25"/>
        <v>1512</v>
      </c>
      <c r="AI56" s="537">
        <f>SUM(AH$44:AH56)</f>
        <v>10348.56087292014</v>
      </c>
      <c r="AJ56" s="329">
        <f ca="1" t="shared" si="13"/>
        <v>10525.724386287766</v>
      </c>
      <c r="AK56" s="423">
        <f t="shared" si="16"/>
        <v>1033.6887914736908</v>
      </c>
      <c r="AQ56" s="290">
        <v>10291.97187225315</v>
      </c>
      <c r="AR56" s="291">
        <v>11823.058892469968</v>
      </c>
      <c r="AS56" s="291">
        <v>16632.58130676824</v>
      </c>
      <c r="AT56" s="291">
        <v>19468.85438031058</v>
      </c>
      <c r="AU56" s="388">
        <v>480</v>
      </c>
      <c r="AV56" s="389">
        <f>('Cost-Effectiveness Level'!$B$3*AQ56)+('Cost-Effectiveness Level'!$C$3*AR56)+('Cost-Effectiveness Level'!$D$3*AS56)+('Cost-Effectiveness Level'!$E$3*AT56)</f>
        <v>13101.511866393203</v>
      </c>
      <c r="AY56" s="290">
        <v>9435.745678288897</v>
      </c>
      <c r="AZ56" s="291">
        <v>10805.156753589219</v>
      </c>
      <c r="BA56" s="291">
        <v>15472.546147084679</v>
      </c>
      <c r="BB56" s="291">
        <v>18161.412247289776</v>
      </c>
      <c r="BC56" s="388">
        <v>480</v>
      </c>
      <c r="BD56" s="389">
        <f>('Cost-Effectiveness Level'!$B$3*AY56)+('Cost-Effectiveness Level'!$C$3*AZ56)+('Cost-Effectiveness Level'!$D$3*BA56)+('Cost-Effectiveness Level'!$E$3*BB56)</f>
        <v>12065.934661588048</v>
      </c>
      <c r="BG56" s="290">
        <v>7045.941986522122</v>
      </c>
      <c r="BH56" s="291">
        <v>8114.825666569001</v>
      </c>
      <c r="BI56" s="291">
        <v>12207.412833284501</v>
      </c>
      <c r="BJ56" s="291">
        <v>14599.355405801349</v>
      </c>
      <c r="BK56" s="388">
        <v>480</v>
      </c>
      <c r="BL56" s="389">
        <f>('Cost-Effectiveness Level'!$B$3*BG56)+('Cost-Effectiveness Level'!$C$3*BH56)+('Cost-Effectiveness Level'!$D$3*BI56)+('Cost-Effectiveness Level'!$E$3*BJ56)</f>
        <v>9248.422209200118</v>
      </c>
    </row>
    <row r="57" spans="1:64" ht="12.75">
      <c r="A57" s="564" t="s">
        <v>529</v>
      </c>
      <c r="B57" s="113">
        <f>'ResWX Base Case'!A53</f>
        <v>0.05662447889271396</v>
      </c>
      <c r="C57" s="325">
        <f>B8</f>
        <v>0.163</v>
      </c>
      <c r="D57" s="325">
        <v>0.06</v>
      </c>
      <c r="E57" s="302">
        <f aca="true" t="shared" si="26" ref="E57:G58">$B57*$C57*C8</f>
        <v>7.84532155058552</v>
      </c>
      <c r="F57" s="302">
        <f t="shared" si="26"/>
        <v>8.722151606239196</v>
      </c>
      <c r="G57" s="302">
        <f t="shared" si="26"/>
        <v>6.71928716332501</v>
      </c>
      <c r="H57" s="302">
        <f>SUMPRODUCT('Cost-Effectiveness Level'!$I$3:$K$3,E57:G57)</f>
        <v>7.705582529084502</v>
      </c>
      <c r="I57" s="302">
        <f aca="true" t="shared" si="27" ref="I57:K58">$B57*$D57*C8</f>
        <v>2.887848423528412</v>
      </c>
      <c r="J57" s="302">
        <f t="shared" si="27"/>
        <v>3.2106079532168814</v>
      </c>
      <c r="K57" s="302">
        <f t="shared" si="27"/>
        <v>2.4733572380337456</v>
      </c>
      <c r="L57" s="302">
        <f>SUMPRODUCT('Cost-Effectiveness Level'!$I$3:$K$3,I57:K57)</f>
        <v>2.8364107469022706</v>
      </c>
      <c r="M57" s="329">
        <f aca="true" t="shared" si="28" ref="M57:M63">E57-I57</f>
        <v>4.957473127057108</v>
      </c>
      <c r="N57" s="329">
        <f aca="true" t="shared" si="29" ref="N57:N63">F57-J57</f>
        <v>5.511543653022315</v>
      </c>
      <c r="O57" s="329">
        <f aca="true" t="shared" si="30" ref="O57:O63">G57-K57</f>
        <v>4.245929925291264</v>
      </c>
      <c r="P57" s="302">
        <f>SUMPRODUCT('Cost-Effectiveness Level'!$I$3:$K$3,M57:O57)</f>
        <v>4.8691717821822325</v>
      </c>
      <c r="T57"/>
      <c r="U57"/>
      <c r="V57"/>
      <c r="W57"/>
      <c r="X57"/>
      <c r="Y57"/>
      <c r="Z57" s="464" t="str">
        <f t="shared" si="20"/>
        <v>DOOR R5</v>
      </c>
      <c r="AA57" s="329">
        <f t="shared" si="21"/>
        <v>304.64899999999994</v>
      </c>
      <c r="AB57" s="332">
        <f t="shared" si="22"/>
        <v>600.46875</v>
      </c>
      <c r="AC57" s="395">
        <f>SUM(AB$44:AB57)</f>
        <v>7890.732717944627</v>
      </c>
      <c r="AD57" s="329">
        <f ca="1" t="shared" si="12"/>
        <v>5710.569218869011</v>
      </c>
      <c r="AE57" s="423">
        <f t="shared" si="15"/>
        <v>386.09645473193814</v>
      </c>
      <c r="AF57" s="436" t="str">
        <f t="shared" si="23"/>
        <v>DOOR R5</v>
      </c>
      <c r="AG57" s="329">
        <f t="shared" si="24"/>
        <v>506.3282</v>
      </c>
      <c r="AH57" s="332">
        <f t="shared" si="25"/>
        <v>600.46875</v>
      </c>
      <c r="AI57" s="537">
        <f>SUM(AH$44:AH57)</f>
        <v>10949.02962292014</v>
      </c>
      <c r="AJ57" s="329">
        <f ca="1" t="shared" si="13"/>
        <v>10143.185153940794</v>
      </c>
      <c r="AK57" s="423">
        <f t="shared" si="16"/>
        <v>382.5392323469714</v>
      </c>
      <c r="AQ57" s="290">
        <v>9663.08233225901</v>
      </c>
      <c r="AR57" s="291">
        <v>11094.696747729271</v>
      </c>
      <c r="AS57" s="291">
        <v>15707.793729856432</v>
      </c>
      <c r="AT57" s="291">
        <v>18402.69557573982</v>
      </c>
      <c r="AU57" s="388">
        <v>460</v>
      </c>
      <c r="AV57" s="389">
        <f>('Cost-Effectiveness Level'!$B$3*AQ57)+('Cost-Effectiveness Level'!$C$3*AR57)+('Cost-Effectiveness Level'!$D$3*AS57)+('Cost-Effectiveness Level'!$E$3*AT57)</f>
        <v>12327.048051567535</v>
      </c>
      <c r="AY57" s="290">
        <v>8823.996484031644</v>
      </c>
      <c r="AZ57" s="291">
        <v>10102.021681804863</v>
      </c>
      <c r="BA57" s="291">
        <v>14572.458247875771</v>
      </c>
      <c r="BB57" s="291">
        <v>17114.210372106652</v>
      </c>
      <c r="BC57" s="388">
        <v>460</v>
      </c>
      <c r="BD57" s="389">
        <f>('Cost-Effectiveness Level'!$B$3*AY57)+('Cost-Effectiveness Level'!$C$3*AZ57)+('Cost-Effectiveness Level'!$D$3*BA57)+('Cost-Effectiveness Level'!$E$3*BB57)</f>
        <v>11314.635218283036</v>
      </c>
      <c r="BG57" s="290">
        <v>6506.797538822151</v>
      </c>
      <c r="BH57" s="291">
        <v>7501.201289188397</v>
      </c>
      <c r="BI57" s="291">
        <v>11372.546147084677</v>
      </c>
      <c r="BJ57" s="291">
        <v>13655.464400820392</v>
      </c>
      <c r="BK57" s="388">
        <v>460</v>
      </c>
      <c r="BL57" s="389">
        <f>('Cost-Effectiveness Level'!$B$3*BG57)+('Cost-Effectiveness Level'!$C$3*BH57)+('Cost-Effectiveness Level'!$D$3*BI57)+('Cost-Effectiveness Level'!$E$3*BJ57)</f>
        <v>8577.869909170817</v>
      </c>
    </row>
    <row r="58" spans="1:64" ht="12.75">
      <c r="A58" s="564" t="s">
        <v>530</v>
      </c>
      <c r="B58" s="113">
        <f>'ResWX Base Case'!A54</f>
        <v>0.27965005436564294</v>
      </c>
      <c r="C58" s="325">
        <f>B10</f>
        <v>0.06</v>
      </c>
      <c r="D58" s="325">
        <v>0.039</v>
      </c>
      <c r="E58" s="302">
        <f t="shared" si="26"/>
        <v>14.26215277264779</v>
      </c>
      <c r="F58" s="302">
        <f t="shared" si="26"/>
        <v>15.856158082531953</v>
      </c>
      <c r="G58" s="302">
        <f t="shared" si="26"/>
        <v>12.215114374691282</v>
      </c>
      <c r="H58" s="302">
        <f>SUMPRODUCT('Cost-Effectiveness Level'!$I$3:$K$3,E58:G58)</f>
        <v>14.008118663262039</v>
      </c>
      <c r="I58" s="302">
        <f t="shared" si="27"/>
        <v>9.270399302221064</v>
      </c>
      <c r="J58" s="302">
        <f t="shared" si="27"/>
        <v>10.306502753645772</v>
      </c>
      <c r="K58" s="302">
        <f t="shared" si="27"/>
        <v>7.939824343549335</v>
      </c>
      <c r="L58" s="302">
        <f>SUMPRODUCT('Cost-Effectiveness Level'!$I$3:$K$3,I58:K58)</f>
        <v>9.105277131120328</v>
      </c>
      <c r="M58" s="329">
        <f t="shared" si="28"/>
        <v>4.991753470426726</v>
      </c>
      <c r="N58" s="329">
        <f t="shared" si="29"/>
        <v>5.549655328886182</v>
      </c>
      <c r="O58" s="329">
        <f t="shared" si="30"/>
        <v>4.275290031141947</v>
      </c>
      <c r="P58" s="302">
        <f>SUMPRODUCT('Cost-Effectiveness Level'!$I$3:$K$3,M58:O58)</f>
        <v>4.902841532141712</v>
      </c>
      <c r="T58"/>
      <c r="U58"/>
      <c r="V58"/>
      <c r="W58"/>
      <c r="X58"/>
      <c r="Y58"/>
      <c r="Z58" s="464" t="str">
        <f t="shared" si="20"/>
        <v>INFILTRATION @ O.35 ACH</v>
      </c>
      <c r="AA58" s="329">
        <f t="shared" si="21"/>
        <v>292.40899999999993</v>
      </c>
      <c r="AB58" s="332">
        <f t="shared" si="22"/>
        <v>675</v>
      </c>
      <c r="AC58" s="395">
        <f>SUM(AB$44:AB58)</f>
        <v>8565.732717944627</v>
      </c>
      <c r="AD58" s="329">
        <f ca="1" t="shared" si="12"/>
        <v>5294.44931716964</v>
      </c>
      <c r="AE58" s="423">
        <f t="shared" si="15"/>
        <v>416.11990169937053</v>
      </c>
      <c r="AF58" s="436" t="str">
        <f t="shared" si="23"/>
        <v>INFILTRATION @ O.35 ACH</v>
      </c>
      <c r="AG58" s="329">
        <f t="shared" si="24"/>
        <v>494.0882</v>
      </c>
      <c r="AH58" s="332">
        <f t="shared" si="25"/>
        <v>1092</v>
      </c>
      <c r="AI58" s="537">
        <f>SUM(AH$44:AH58)</f>
        <v>12041.02962292014</v>
      </c>
      <c r="AJ58" s="329">
        <f ca="1" t="shared" si="13"/>
        <v>9726.449942968047</v>
      </c>
      <c r="AK58" s="423">
        <f t="shared" si="16"/>
        <v>416.73521097274715</v>
      </c>
      <c r="AQ58" s="290">
        <v>7799.12100791093</v>
      </c>
      <c r="AR58" s="291">
        <v>8942.71901552886</v>
      </c>
      <c r="AS58" s="291">
        <v>12957.222384998535</v>
      </c>
      <c r="AT58" s="291">
        <v>15219.425725168474</v>
      </c>
      <c r="AU58" s="388">
        <v>400</v>
      </c>
      <c r="AV58" s="389">
        <f>('Cost-Effectiveness Level'!$B$3*AQ58)+('Cost-Effectiveness Level'!$C$3*AR58)+('Cost-Effectiveness Level'!$D$3*AS58)+('Cost-Effectiveness Level'!$E$3*AT58)</f>
        <v>10031.460591854673</v>
      </c>
      <c r="AY58" s="290">
        <v>7023.703486668621</v>
      </c>
      <c r="AZ58" s="291">
        <v>8037.210665104015</v>
      </c>
      <c r="BA58" s="291">
        <v>11894.726047465572</v>
      </c>
      <c r="BB58" s="291">
        <v>14003.92616466452</v>
      </c>
      <c r="BC58" s="388">
        <v>400</v>
      </c>
      <c r="BD58" s="389">
        <f>('Cost-Effectiveness Level'!$B$3*AY58)+('Cost-Effectiveness Level'!$C$3*AZ58)+('Cost-Effectiveness Level'!$D$3*BA58)+('Cost-Effectiveness Level'!$E$3*BB58)</f>
        <v>9097.22384998535</v>
      </c>
      <c r="BG58" s="290">
        <v>4917.2868444184005</v>
      </c>
      <c r="BH58" s="291">
        <v>5716.759449164958</v>
      </c>
      <c r="BI58" s="291">
        <v>8927.981248168768</v>
      </c>
      <c r="BJ58" s="291">
        <v>10853.0911221799</v>
      </c>
      <c r="BK58" s="388">
        <v>400</v>
      </c>
      <c r="BL58" s="389">
        <f>('Cost-Effectiveness Level'!$B$3*BG58)+('Cost-Effectiveness Level'!$C$3*BH58)+('Cost-Effectiveness Level'!$D$3*BI58)+('Cost-Effectiveness Level'!$E$3*BJ58)</f>
        <v>6616.4869616173455</v>
      </c>
    </row>
    <row r="59" spans="1:64" ht="12.75">
      <c r="A59" s="564" t="s">
        <v>531</v>
      </c>
      <c r="B59" s="113">
        <f>'ResWX Base Case'!A55</f>
        <v>0.21133978395883135</v>
      </c>
      <c r="C59" s="325">
        <f>B20</f>
        <v>0.10596804511278195</v>
      </c>
      <c r="D59" s="325">
        <v>0.041</v>
      </c>
      <c r="E59" s="302">
        <f aca="true" t="shared" si="31" ref="E59:G60">$B59*$C59*C20</f>
        <v>19.035974196573775</v>
      </c>
      <c r="F59" s="302">
        <f t="shared" si="31"/>
        <v>30.233606076911293</v>
      </c>
      <c r="G59" s="302">
        <f t="shared" si="31"/>
        <v>16.303752017771423</v>
      </c>
      <c r="H59" s="302">
        <f>SUMPRODUCT('Cost-Effectiveness Level'!$I$3:$K$3,E59:G59)</f>
        <v>22.143540996005044</v>
      </c>
      <c r="I59" s="302">
        <f aca="true" t="shared" si="32" ref="I59:K60">$B59*$D59*C20</f>
        <v>7.365191470965273</v>
      </c>
      <c r="J59" s="302">
        <f t="shared" si="32"/>
        <v>11.697657042121318</v>
      </c>
      <c r="K59" s="302">
        <f t="shared" si="32"/>
        <v>6.308069871603199</v>
      </c>
      <c r="L59" s="302">
        <f>SUMPRODUCT('Cost-Effectiveness Level'!$I$3:$K$3,I59:K59)</f>
        <v>8.5675373162725</v>
      </c>
      <c r="M59" s="329">
        <f t="shared" si="28"/>
        <v>11.670782725608502</v>
      </c>
      <c r="N59" s="329">
        <f t="shared" si="29"/>
        <v>18.535949034789976</v>
      </c>
      <c r="O59" s="329">
        <f t="shared" si="30"/>
        <v>9.995682146168225</v>
      </c>
      <c r="P59" s="302">
        <f>SUMPRODUCT('Cost-Effectiveness Level'!$I$3:$K$3,M59:O59)</f>
        <v>13.576003679732544</v>
      </c>
      <c r="Z59" s="464" t="str">
        <f t="shared" si="20"/>
        <v>VAULT R49</v>
      </c>
      <c r="AA59" s="329">
        <f t="shared" si="21"/>
        <v>291.19399999999996</v>
      </c>
      <c r="AB59" s="332">
        <f t="shared" si="22"/>
        <v>73.69720157622235</v>
      </c>
      <c r="AC59" s="395">
        <f>SUM(AB$44:AB59)</f>
        <v>8639.42991952085</v>
      </c>
      <c r="AD59" s="329">
        <f ca="1" t="shared" si="12"/>
        <v>5253.49762291239</v>
      </c>
      <c r="AE59" s="423">
        <f t="shared" si="15"/>
        <v>40.95169425724998</v>
      </c>
      <c r="AF59"/>
      <c r="AG59"/>
      <c r="AH59"/>
      <c r="AI59"/>
      <c r="AJ59"/>
      <c r="AK59"/>
      <c r="AQ59" s="290">
        <v>7186.229123937885</v>
      </c>
      <c r="AR59" s="291">
        <v>8234.573688836801</v>
      </c>
      <c r="AS59" s="291">
        <v>12048.696161734544</v>
      </c>
      <c r="AT59" s="291">
        <v>14164.371520656316</v>
      </c>
      <c r="AU59" s="388">
        <v>380</v>
      </c>
      <c r="AV59" s="389">
        <f>('Cost-Effectiveness Level'!$B$3*AQ59)+('Cost-Effectiveness Level'!$C$3*AR59)+('Cost-Effectiveness Level'!$D$3*AS59)+('Cost-Effectiveness Level'!$E$3*AT59)</f>
        <v>9274.925285672429</v>
      </c>
      <c r="AY59" s="290">
        <v>6434.4857896278945</v>
      </c>
      <c r="AZ59" s="291">
        <v>7366.070905361853</v>
      </c>
      <c r="BA59" s="291">
        <v>11013.155581599767</v>
      </c>
      <c r="BB59" s="291">
        <v>12981.570465865807</v>
      </c>
      <c r="BC59" s="388">
        <v>380</v>
      </c>
      <c r="BD59" s="389">
        <f>('Cost-Effectiveness Level'!$B$3*AY59)+('Cost-Effectiveness Level'!$C$3*AZ59)+('Cost-Effectiveness Level'!$D$3*BA59)+('Cost-Effectiveness Level'!$E$3*BB59)</f>
        <v>8372.300029299739</v>
      </c>
      <c r="BG59" s="290">
        <v>4396.278933489599</v>
      </c>
      <c r="BH59" s="291">
        <v>5145.238792850865</v>
      </c>
      <c r="BI59" s="291">
        <v>8132.815704658658</v>
      </c>
      <c r="BJ59" s="291">
        <v>9932.639906240844</v>
      </c>
      <c r="BK59" s="388">
        <v>380</v>
      </c>
      <c r="BL59" s="389">
        <f>('Cost-Effectiveness Level'!$B$3*BG59)+('Cost-Effectiveness Level'!$C$3*BH59)+('Cost-Effectiveness Level'!$D$3*BI59)+('Cost-Effectiveness Level'!$E$3*BJ59)</f>
        <v>5981.711104600059</v>
      </c>
    </row>
    <row r="60" spans="1:64" ht="12.75">
      <c r="A60" s="564" t="s">
        <v>532</v>
      </c>
      <c r="B60" s="113">
        <f>'ResWX Base Case'!A56</f>
        <v>0.05567381247519047</v>
      </c>
      <c r="C60" s="325">
        <f>B22</f>
        <v>0.041</v>
      </c>
      <c r="D60" s="325">
        <v>0.029</v>
      </c>
      <c r="E60" s="302">
        <f t="shared" si="31"/>
        <v>1.940232364760388</v>
      </c>
      <c r="F60" s="302">
        <f t="shared" si="31"/>
        <v>3.0815455205017925</v>
      </c>
      <c r="G60" s="302">
        <f t="shared" si="31"/>
        <v>1.6617519547594852</v>
      </c>
      <c r="H60" s="302">
        <f>SUMPRODUCT('Cost-Effectiveness Level'!$I$3:$K$3,E60:G60)</f>
        <v>2.2569695917417425</v>
      </c>
      <c r="I60" s="302">
        <f t="shared" si="32"/>
        <v>1.3723594775134453</v>
      </c>
      <c r="J60" s="302">
        <f t="shared" si="32"/>
        <v>2.179629758403707</v>
      </c>
      <c r="K60" s="302">
        <f t="shared" si="32"/>
        <v>1.1753855289762214</v>
      </c>
      <c r="L60" s="302">
        <f>SUMPRODUCT('Cost-Effectiveness Level'!$I$3:$K$3,I60:K60)</f>
        <v>1.5963931258661108</v>
      </c>
      <c r="M60" s="329">
        <f t="shared" si="28"/>
        <v>0.5678728872469427</v>
      </c>
      <c r="N60" s="329">
        <f t="shared" si="29"/>
        <v>0.9019157620980853</v>
      </c>
      <c r="O60" s="329">
        <f t="shared" si="30"/>
        <v>0.48636642578326383</v>
      </c>
      <c r="P60" s="302">
        <f>SUMPRODUCT('Cost-Effectiveness Level'!$I$3:$K$3,M60:O60)</f>
        <v>0.6605764658756317</v>
      </c>
      <c r="U60" s="539"/>
      <c r="Z60"/>
      <c r="AA60"/>
      <c r="AB60"/>
      <c r="AC60"/>
      <c r="AD60"/>
      <c r="AE60"/>
      <c r="AF60"/>
      <c r="AG60"/>
      <c r="AH60"/>
      <c r="AI60"/>
      <c r="AJ60"/>
      <c r="AK60"/>
      <c r="AQ60" s="290">
        <v>6576.560210958101</v>
      </c>
      <c r="AR60" s="291">
        <v>7532.053911514798</v>
      </c>
      <c r="AS60" s="291">
        <v>11146.02988573103</v>
      </c>
      <c r="AT60" s="291">
        <v>13114.532669205979</v>
      </c>
      <c r="AU60" s="388">
        <v>360</v>
      </c>
      <c r="AV60" s="389">
        <f>('Cost-Effectiveness Level'!$B$3*AQ60)+('Cost-Effectiveness Level'!$C$3*AR60)+('Cost-Effectiveness Level'!$D$3*AS60)+('Cost-Effectiveness Level'!$E$3*AT60)</f>
        <v>8523.573102842076</v>
      </c>
      <c r="AY60" s="290">
        <v>5854.175212423088</v>
      </c>
      <c r="AZ60" s="291">
        <v>6702.138880750074</v>
      </c>
      <c r="BA60" s="291">
        <v>10134.866686199826</v>
      </c>
      <c r="BB60" s="291">
        <v>11967.447992968064</v>
      </c>
      <c r="BC60" s="388">
        <v>360</v>
      </c>
      <c r="BD60" s="389">
        <f>('Cost-Effectiveness Level'!$B$3*AY60)+('Cost-Effectiveness Level'!$C$3*AZ60)+('Cost-Effectiveness Level'!$D$3*BA60)+('Cost-Effectiveness Level'!$E$3*BB60)</f>
        <v>7653.9935540580145</v>
      </c>
      <c r="BG60" s="290">
        <v>3883.357749780252</v>
      </c>
      <c r="BH60" s="291">
        <v>4585.877527102257</v>
      </c>
      <c r="BI60" s="291">
        <v>7349.428655142104</v>
      </c>
      <c r="BJ60" s="291">
        <v>9024.787576911807</v>
      </c>
      <c r="BK60" s="388">
        <v>360</v>
      </c>
      <c r="BL60" s="389">
        <f>('Cost-Effectiveness Level'!$B$3*BG60)+('Cost-Effectiveness Level'!$C$3*BH60)+('Cost-Effectiveness Level'!$D$3*BI60)+('Cost-Effectiveness Level'!$E$3*BJ60)</f>
        <v>5358.206856138295</v>
      </c>
    </row>
    <row r="61" spans="1:64" ht="12.75">
      <c r="A61" s="564" t="s">
        <v>533</v>
      </c>
      <c r="B61" s="113">
        <f>'ResWX Base Case'!A57</f>
        <v>0.16708669998201614</v>
      </c>
      <c r="C61" s="325">
        <f>B6</f>
        <v>0.1543716268311488</v>
      </c>
      <c r="D61" s="325">
        <v>0.094</v>
      </c>
      <c r="E61" s="302">
        <f>$B61*$C61*C6</f>
        <v>20.89269101543825</v>
      </c>
      <c r="F61" s="302">
        <f>$B61*$C61*D6</f>
        <v>26.0771736007507</v>
      </c>
      <c r="G61" s="302">
        <f>$B61*$C61*E6</f>
        <v>39.23183090676738</v>
      </c>
      <c r="H61" s="302">
        <f>SUMPRODUCT('Cost-Effectiveness Level'!$I$3:$K$3,E61:G61)</f>
        <v>30.565233152215214</v>
      </c>
      <c r="I61" s="302">
        <f>$B61*$D61*C6</f>
        <v>12.72198133663071</v>
      </c>
      <c r="J61" s="302">
        <f>$B61*$D61*D6</f>
        <v>15.878917446090924</v>
      </c>
      <c r="K61" s="302">
        <f>$B61*$D61*E6</f>
        <v>23.889053843228776</v>
      </c>
      <c r="L61" s="302">
        <f>SUMPRODUCT('Cost-Effectiveness Level'!$I$3:$K$3,I61:K61)</f>
        <v>18.611787510996777</v>
      </c>
      <c r="M61" s="329">
        <f t="shared" si="28"/>
        <v>8.170709678807539</v>
      </c>
      <c r="N61" s="329">
        <f t="shared" si="29"/>
        <v>10.198256154659777</v>
      </c>
      <c r="O61" s="329">
        <f t="shared" si="30"/>
        <v>15.342777063538602</v>
      </c>
      <c r="P61" s="302">
        <f>SUMPRODUCT('Cost-Effectiveness Level'!$I$3:$K$3,M61:O61)</f>
        <v>11.953445641218437</v>
      </c>
      <c r="Z61"/>
      <c r="AA61"/>
      <c r="AB61"/>
      <c r="AC61"/>
      <c r="AD61"/>
      <c r="AE61"/>
      <c r="AF61"/>
      <c r="AG61"/>
      <c r="AH61"/>
      <c r="AI61"/>
      <c r="AJ61"/>
      <c r="AK61"/>
      <c r="AQ61" s="290">
        <v>5973.45443891005</v>
      </c>
      <c r="AR61" s="291">
        <v>6839.290946381483</v>
      </c>
      <c r="AS61" s="291">
        <v>10249.164957515384</v>
      </c>
      <c r="AT61" s="291">
        <v>12070.143568707883</v>
      </c>
      <c r="AU61" s="388">
        <v>340</v>
      </c>
      <c r="AV61" s="389">
        <f>('Cost-Effectiveness Level'!$B$3*AQ61)+('Cost-Effectiveness Level'!$C$3*AR61)+('Cost-Effectiveness Level'!$D$3*AS61)+('Cost-Effectiveness Level'!$E$3*AT61)</f>
        <v>7780.134778786992</v>
      </c>
      <c r="AY61" s="290">
        <v>5280.515675358923</v>
      </c>
      <c r="AZ61" s="291">
        <v>6045.971286258425</v>
      </c>
      <c r="BA61" s="291">
        <v>9260.181658365074</v>
      </c>
      <c r="BB61" s="291">
        <v>10960.445355991797</v>
      </c>
      <c r="BC61" s="388">
        <v>340</v>
      </c>
      <c r="BD61" s="389">
        <f>('Cost-Effectiveness Level'!$B$3*AY61)+('Cost-Effectiveness Level'!$C$3*AZ61)+('Cost-Effectiveness Level'!$D$3*BA61)+('Cost-Effectiveness Level'!$E$3*BB61)</f>
        <v>6942.156460591856</v>
      </c>
      <c r="BG61" s="290">
        <v>3400.146498681512</v>
      </c>
      <c r="BH61" s="291">
        <v>4033.343099912101</v>
      </c>
      <c r="BI61" s="291">
        <v>6590.711983592148</v>
      </c>
      <c r="BJ61" s="291">
        <v>8130.061529446236</v>
      </c>
      <c r="BK61" s="388">
        <v>340</v>
      </c>
      <c r="BL61" s="389">
        <f>('Cost-Effectiveness Level'!$B$3*BG61)+('Cost-Effectiveness Level'!$C$3*BH61)+('Cost-Effectiveness Level'!$D$3*BI61)+('Cost-Effectiveness Level'!$E$3*BJ61)</f>
        <v>4750.881922062702</v>
      </c>
    </row>
    <row r="62" spans="1:64" ht="12.75">
      <c r="A62" s="564" t="s">
        <v>534</v>
      </c>
      <c r="B62" s="113">
        <f>'ResWX Base Case'!A58</f>
        <v>0.023378222371556377</v>
      </c>
      <c r="C62" s="325">
        <f>0.018*0.45</f>
        <v>0.0081</v>
      </c>
      <c r="D62" s="325">
        <v>0.006299999999999999</v>
      </c>
      <c r="E62" s="329">
        <f>B62*$C62*C35</f>
        <v>1.287672488225325</v>
      </c>
      <c r="F62" s="329">
        <f>C62*$C62*D35</f>
        <v>0.7085879999999999</v>
      </c>
      <c r="G62" s="329">
        <f>D62*$C62*E35</f>
        <v>0.8915961599999999</v>
      </c>
      <c r="H62" s="302">
        <f>SUMPRODUCT('Cost-Effectiveness Level'!$I$3:$K$3,E62:G62)</f>
        <v>0.9012683248450649</v>
      </c>
      <c r="I62" s="329">
        <f>$B62*$D62*C35</f>
        <v>1.0015230463974751</v>
      </c>
      <c r="J62" s="329">
        <f>$B62*$D62*D35</f>
        <v>1.5906542501606957</v>
      </c>
      <c r="K62" s="329">
        <f>$B62*$D62*E35</f>
        <v>2.573325098037748</v>
      </c>
      <c r="L62" s="302">
        <f>SUMPRODUCT('Cost-Effectiveness Level'!$I$3:$K$3,I62:K62)</f>
        <v>1.8855497655164135</v>
      </c>
      <c r="M62" s="329">
        <f t="shared" si="28"/>
        <v>0.28614944182784985</v>
      </c>
      <c r="N62" s="329">
        <f t="shared" si="29"/>
        <v>-0.8820662501606958</v>
      </c>
      <c r="O62" s="329">
        <f t="shared" si="30"/>
        <v>-1.681728938037748</v>
      </c>
      <c r="P62" s="302">
        <f>SUMPRODUCT('Cost-Effectiveness Level'!$I$3:$K$3,M62:O62)</f>
        <v>-0.9842814406713487</v>
      </c>
      <c r="Z62"/>
      <c r="AA62"/>
      <c r="AB62"/>
      <c r="AC62"/>
      <c r="AD62"/>
      <c r="AE62"/>
      <c r="AG62" s="594"/>
      <c r="AQ62" s="290">
        <v>5381.3067682390865</v>
      </c>
      <c r="AR62" s="291">
        <v>6159.097568121887</v>
      </c>
      <c r="AS62" s="291">
        <v>9360.4746557281</v>
      </c>
      <c r="AT62" s="291">
        <v>11035.013184881336</v>
      </c>
      <c r="AU62" s="388">
        <v>320</v>
      </c>
      <c r="AV62" s="389">
        <f>('Cost-Effectiveness Level'!$B$3*AQ62)+('Cost-Effectiveness Level'!$C$3*AR62)+('Cost-Effectiveness Level'!$D$3*AS62)+('Cost-Effectiveness Level'!$E$3*AT62)</f>
        <v>7047.679460884852</v>
      </c>
      <c r="AY62" s="290">
        <v>4711.397597421624</v>
      </c>
      <c r="AZ62" s="291">
        <v>5400.292997363024</v>
      </c>
      <c r="BA62" s="291">
        <v>8396.601230588925</v>
      </c>
      <c r="BB62" s="291">
        <v>9963.72692645766</v>
      </c>
      <c r="BC62" s="388">
        <v>320</v>
      </c>
      <c r="BD62" s="389">
        <f>('Cost-Effectiveness Level'!$B$3*AY62)+('Cost-Effectiveness Level'!$C$3*AZ62)+('Cost-Effectiveness Level'!$D$3*BA62)+('Cost-Effectiveness Level'!$E$3*BB62)</f>
        <v>6239.762672135951</v>
      </c>
      <c r="BG62" s="290">
        <v>2942.22092001172</v>
      </c>
      <c r="BH62" s="291">
        <v>3492.46996777029</v>
      </c>
      <c r="BI62" s="291">
        <v>5846.498681511866</v>
      </c>
      <c r="BJ62" s="291">
        <v>7246.9088778201</v>
      </c>
      <c r="BK62" s="388">
        <v>320</v>
      </c>
      <c r="BL62" s="389">
        <f>('Cost-Effectiveness Level'!$B$3*BG62)+('Cost-Effectiveness Level'!$C$3*BH62)+('Cost-Effectiveness Level'!$D$3*BI62)+('Cost-Effectiveness Level'!$E$3*BJ62)</f>
        <v>4158.649282156461</v>
      </c>
    </row>
    <row r="63" spans="1:64" ht="13.5" thickBot="1">
      <c r="A63" s="575" t="s">
        <v>535</v>
      </c>
      <c r="B63" s="576">
        <f>'ResWX Base Case'!A59</f>
        <v>0.20624694795404877</v>
      </c>
      <c r="C63" s="577">
        <f>B26</f>
        <v>0.513041810510165</v>
      </c>
      <c r="D63" s="577">
        <v>0.34</v>
      </c>
      <c r="E63" s="418">
        <f>$B63*$C63*C25</f>
        <v>9.94645091351085</v>
      </c>
      <c r="F63" s="418">
        <f>$B63*$C63*D25</f>
        <v>15.766182830990601</v>
      </c>
      <c r="G63" s="418">
        <f>$B63*$C63*E25</f>
        <v>33.331191891020396</v>
      </c>
      <c r="H63" s="578">
        <f>SUMPRODUCT('Cost-Effectiveness Level'!$I$3:$K$3,E63:G63)</f>
        <v>21.979540252707164</v>
      </c>
      <c r="I63" s="418">
        <f>$B63*$D63*$C25</f>
        <v>6.591652456611399</v>
      </c>
      <c r="J63" s="418">
        <f>$B63*$D63*$C25</f>
        <v>6.591652456611399</v>
      </c>
      <c r="K63" s="418">
        <f>$B63*$D63*$C25</f>
        <v>6.591652456611399</v>
      </c>
      <c r="L63" s="578">
        <f>SUMPRODUCT('Cost-Effectiveness Level'!$I$3:$K$3,I63:K63)</f>
        <v>6.591652456611399</v>
      </c>
      <c r="M63" s="418">
        <f t="shared" si="28"/>
        <v>3.3547984568994504</v>
      </c>
      <c r="N63" s="418">
        <f t="shared" si="29"/>
        <v>9.174530374379202</v>
      </c>
      <c r="O63" s="418">
        <f t="shared" si="30"/>
        <v>26.739539434408996</v>
      </c>
      <c r="P63" s="578">
        <f>SUMPRODUCT('Cost-Effectiveness Level'!$I$3:$K$3,M63:O63)</f>
        <v>15.387887796095765</v>
      </c>
      <c r="AQ63" s="290">
        <v>4794.022853794316</v>
      </c>
      <c r="AR63" s="291">
        <v>5489.01259888661</v>
      </c>
      <c r="AS63" s="291">
        <v>8476.648110167009</v>
      </c>
      <c r="AT63" s="291">
        <v>10006.445941986523</v>
      </c>
      <c r="AU63" s="388">
        <v>300</v>
      </c>
      <c r="AV63" s="389">
        <f>('Cost-Effectiveness Level'!$B$3*AQ63)+('Cost-Effectiveness Level'!$C$3*AR63)+('Cost-Effectiveness Level'!$D$3*AS63)+('Cost-Effectiveness Level'!$E$3*AT63)</f>
        <v>6322.795194843247</v>
      </c>
      <c r="AY63" s="290">
        <v>4150.190448285965</v>
      </c>
      <c r="AZ63" s="291">
        <v>4768.942279519484</v>
      </c>
      <c r="BA63" s="291">
        <v>7547.113975974216</v>
      </c>
      <c r="BB63" s="291">
        <v>8980.339876941109</v>
      </c>
      <c r="BC63" s="388">
        <v>300</v>
      </c>
      <c r="BD63" s="389">
        <f>('Cost-Effectiveness Level'!$B$3*AY63)+('Cost-Effectiveness Level'!$C$3*AZ63)+('Cost-Effectiveness Level'!$D$3*BA63)+('Cost-Effectiveness Level'!$E$3*BB63)</f>
        <v>5550.304717257544</v>
      </c>
      <c r="BG63" s="290">
        <v>2507.061236448872</v>
      </c>
      <c r="BH63" s="291">
        <v>2975.4175212423092</v>
      </c>
      <c r="BI63" s="291">
        <v>5139.847641371228</v>
      </c>
      <c r="BJ63" s="291">
        <v>6378.933489598594</v>
      </c>
      <c r="BK63" s="388">
        <v>300</v>
      </c>
      <c r="BL63" s="389">
        <f>('Cost-Effectiveness Level'!$B$3*BG63)+('Cost-Effectiveness Level'!$C$3*BH63)+('Cost-Effectiveness Level'!$D$3*BI63)+('Cost-Effectiveness Level'!$E$3*BJ63)</f>
        <v>3593.029592733666</v>
      </c>
    </row>
    <row r="64" spans="1:64" ht="13.5" thickBot="1">
      <c r="A64" s="579" t="s">
        <v>548</v>
      </c>
      <c r="B64" s="580"/>
      <c r="C64" s="581"/>
      <c r="D64" s="580"/>
      <c r="E64" s="581">
        <f>SUM(E57:E63)</f>
        <v>75.21049530174189</v>
      </c>
      <c r="F64" s="581">
        <f>SUM(F57:F63)</f>
        <v>100.44540571792554</v>
      </c>
      <c r="G64" s="581">
        <f>SUM(G57:G63)</f>
        <v>110.35452446833499</v>
      </c>
      <c r="H64" s="582">
        <f>SUMPRODUCT('Cost-Effectiveness Level'!$I$3:$K$3,E64:G64)</f>
        <v>99.56025350986077</v>
      </c>
      <c r="I64" s="581">
        <f>SUM(I57:I63)</f>
        <v>41.21095551386777</v>
      </c>
      <c r="J64" s="581">
        <f>SUM(J57:J63)</f>
        <v>51.4556216602507</v>
      </c>
      <c r="K64" s="581">
        <f>SUM(K57:K63)</f>
        <v>50.950668380040426</v>
      </c>
      <c r="L64" s="584">
        <f>SUMPRODUCT('Cost-Effectiveness Level'!$I$3:$K$3,I64:K64)</f>
        <v>49.194608053285805</v>
      </c>
      <c r="M64" s="585">
        <f>E64-I64</f>
        <v>33.99953978787411</v>
      </c>
      <c r="N64" s="581">
        <f>F64-J64</f>
        <v>48.98978405767484</v>
      </c>
      <c r="O64" s="581">
        <f>G64-K64</f>
        <v>59.40385608829456</v>
      </c>
      <c r="P64" s="583">
        <f>SUMPRODUCT('Cost-Effectiveness Level'!$I$3:$K$3,M64:O64)</f>
        <v>50.36564545657498</v>
      </c>
      <c r="AQ64" s="290">
        <v>4216.818048637562</v>
      </c>
      <c r="AR64" s="291">
        <v>4830.676823908585</v>
      </c>
      <c r="AS64" s="291">
        <v>7601.611485496631</v>
      </c>
      <c r="AT64" s="291">
        <v>8990.887782009962</v>
      </c>
      <c r="AU64" s="388">
        <v>280</v>
      </c>
      <c r="AV64" s="389">
        <f>('Cost-Effectiveness Level'!$B$3*AQ64)+('Cost-Effectiveness Level'!$C$3*AR64)+('Cost-Effectiveness Level'!$D$3*AS64)+('Cost-Effectiveness Level'!$E$3*AT64)</f>
        <v>5608.649282156461</v>
      </c>
      <c r="AY64" s="290">
        <v>3600.3808965719313</v>
      </c>
      <c r="AZ64" s="291">
        <v>4155.815997656021</v>
      </c>
      <c r="BA64" s="291">
        <v>6710.401406387343</v>
      </c>
      <c r="BB64" s="291">
        <v>8012.364488719602</v>
      </c>
      <c r="BC64" s="388">
        <v>280</v>
      </c>
      <c r="BD64" s="389">
        <f>('Cost-Effectiveness Level'!$B$3*AY64)+('Cost-Effectiveness Level'!$C$3*AZ64)+('Cost-Effectiveness Level'!$D$3*BA64)+('Cost-Effectiveness Level'!$E$3*BB64)</f>
        <v>4876.202754175212</v>
      </c>
      <c r="BG64" s="290">
        <v>2102.256079695283</v>
      </c>
      <c r="BH64" s="291">
        <v>2483.9730442426016</v>
      </c>
      <c r="BI64" s="291">
        <v>4464.283621447407</v>
      </c>
      <c r="BJ64" s="291">
        <v>5520.304717257544</v>
      </c>
      <c r="BK64" s="388">
        <v>280</v>
      </c>
      <c r="BL64" s="389">
        <f>('Cost-Effectiveness Level'!$B$3*BG64)+('Cost-Effectiveness Level'!$C$3*BH64)+('Cost-Effectiveness Level'!$D$3*BI64)+('Cost-Effectiveness Level'!$E$3*BJ64)</f>
        <v>3054.5238792850864</v>
      </c>
    </row>
    <row r="65" spans="1:64" ht="12.75">
      <c r="A65"/>
      <c r="B65"/>
      <c r="C65"/>
      <c r="D65"/>
      <c r="E65"/>
      <c r="F65"/>
      <c r="G65"/>
      <c r="H65"/>
      <c r="I65"/>
      <c r="J65"/>
      <c r="K65"/>
      <c r="L65"/>
      <c r="M65"/>
      <c r="N65"/>
      <c r="O65"/>
      <c r="P65"/>
      <c r="AQ65" s="290">
        <v>3650.512745385292</v>
      </c>
      <c r="AR65" s="291">
        <v>4187.694110753004</v>
      </c>
      <c r="AS65" s="291">
        <v>6733.07940228538</v>
      </c>
      <c r="AT65" s="291">
        <v>7985.496630530326</v>
      </c>
      <c r="AU65" s="388">
        <v>260</v>
      </c>
      <c r="AV65" s="389">
        <f>('Cost-Effectiveness Level'!$B$3*AQ65)+('Cost-Effectiveness Level'!$C$3*AR65)+('Cost-Effectiveness Level'!$D$3*AS65)+('Cost-Effectiveness Level'!$E$3*AT65)</f>
        <v>4906.494286551421</v>
      </c>
      <c r="AY65" s="290">
        <v>3070.49516554351</v>
      </c>
      <c r="AZ65" s="291">
        <v>3555.3179021388805</v>
      </c>
      <c r="BA65" s="291">
        <v>5884.646938177557</v>
      </c>
      <c r="BB65" s="291">
        <v>7061.119249926751</v>
      </c>
      <c r="BC65" s="388">
        <v>260</v>
      </c>
      <c r="BD65" s="389">
        <f>('Cost-Effectiveness Level'!$B$3*AY65)+('Cost-Effectiveness Level'!$C$3*AZ65)+('Cost-Effectiveness Level'!$D$3*BA65)+('Cost-Effectiveness Level'!$E$3*BB65)</f>
        <v>4215.97568121887</v>
      </c>
      <c r="BG65" s="290">
        <v>1722.7658951069443</v>
      </c>
      <c r="BH65" s="291">
        <v>2021.740404336361</v>
      </c>
      <c r="BI65" s="291">
        <v>3807.03193671257</v>
      </c>
      <c r="BJ65" s="291">
        <v>4680.603574567829</v>
      </c>
      <c r="BK65" s="388">
        <v>260</v>
      </c>
      <c r="BL65" s="389">
        <f>('Cost-Effectiveness Level'!$B$3*BG65)+('Cost-Effectiveness Level'!$C$3*BH65)+('Cost-Effectiveness Level'!$D$3*BI65)+('Cost-Effectiveness Level'!$E$3*BJ65)</f>
        <v>2541.2115440961034</v>
      </c>
    </row>
    <row r="66" spans="42:64" ht="13.5" thickBot="1">
      <c r="AP66" s="5"/>
      <c r="AQ66" s="290">
        <v>3092.7043656607093</v>
      </c>
      <c r="AR66" s="291">
        <v>3559.654263111632</v>
      </c>
      <c r="AS66" s="291">
        <v>5876.7946088485205</v>
      </c>
      <c r="AT66" s="291">
        <v>6996.571930852622</v>
      </c>
      <c r="AU66" s="388">
        <v>240</v>
      </c>
      <c r="AV66" s="389">
        <f>('Cost-Effectiveness Level'!$B$3*AQ66)+('Cost-Effectiveness Level'!$C$3*AR66)+('Cost-Effectiveness Level'!$D$3*AS66)+('Cost-Effectiveness Level'!$E$3*AT66)</f>
        <v>4217.395253442719</v>
      </c>
      <c r="AY66" s="290">
        <v>2557.5153823615587</v>
      </c>
      <c r="AZ66" s="291">
        <v>2970.143568707882</v>
      </c>
      <c r="BA66" s="291">
        <v>5068.532083211252</v>
      </c>
      <c r="BB66" s="291">
        <v>6130.3838265455615</v>
      </c>
      <c r="BC66" s="388">
        <v>240</v>
      </c>
      <c r="BD66" s="389">
        <f>('Cost-Effectiveness Level'!$B$3*AY66)+('Cost-Effectiveness Level'!$C$3*AZ66)+('Cost-Effectiveness Level'!$D$3*BA66)+('Cost-Effectiveness Level'!$E$3*BB66)</f>
        <v>3570.227072956344</v>
      </c>
      <c r="BG66" s="290">
        <v>1362.613536478172</v>
      </c>
      <c r="BH66" s="291">
        <v>1584.148842660416</v>
      </c>
      <c r="BI66" s="291">
        <v>3182.7424553179026</v>
      </c>
      <c r="BJ66" s="291">
        <v>3894.140052739526</v>
      </c>
      <c r="BK66" s="388">
        <v>240</v>
      </c>
      <c r="BL66" s="389">
        <f>('Cost-Effectiveness Level'!$B$3*BG66)+('Cost-Effectiveness Level'!$C$3*BH66)+('Cost-Effectiveness Level'!$D$3*BI66)+('Cost-Effectiveness Level'!$E$3*BJ66)</f>
        <v>2054.9897450922945</v>
      </c>
    </row>
    <row r="67" spans="1:64" ht="13.5" thickBot="1">
      <c r="A67" s="721" t="s">
        <v>495</v>
      </c>
      <c r="B67" s="722"/>
      <c r="C67" s="722"/>
      <c r="D67" s="716"/>
      <c r="E67" s="416" t="s">
        <v>218</v>
      </c>
      <c r="AP67" s="5"/>
      <c r="AQ67" s="290">
        <v>2548.608262525637</v>
      </c>
      <c r="AR67" s="291">
        <v>2946.645180193378</v>
      </c>
      <c r="AS67" s="291">
        <v>5038.76355112804</v>
      </c>
      <c r="AT67" s="291">
        <v>6026.223263990624</v>
      </c>
      <c r="AU67" s="388">
        <v>220</v>
      </c>
      <c r="AV67" s="389">
        <f>('Cost-Effectiveness Level'!$B$3*AQ67)+('Cost-Effectiveness Level'!$C$3*AR67)+('Cost-Effectiveness Level'!$D$3*AS67)+('Cost-Effectiveness Level'!$E$3*AT67)</f>
        <v>3544.0462935833575</v>
      </c>
      <c r="AY67" s="290">
        <v>2056.519191327278</v>
      </c>
      <c r="AZ67" s="291">
        <v>2398.8280105479053</v>
      </c>
      <c r="BA67" s="291">
        <v>4273.220041019631</v>
      </c>
      <c r="BB67" s="291">
        <v>5216.437152065632</v>
      </c>
      <c r="BC67" s="388">
        <v>220</v>
      </c>
      <c r="BD67" s="389">
        <f>('Cost-Effectiveness Level'!$B$3*AY67)+('Cost-Effectiveness Level'!$C$3*AZ67)+('Cost-Effectiveness Level'!$D$3*BA67)+('Cost-Effectiveness Level'!$E$3*BB67)</f>
        <v>2939.844711397597</v>
      </c>
      <c r="BG67" s="290">
        <v>1029.0653384119544</v>
      </c>
      <c r="BH67" s="291">
        <v>1189.950190448286</v>
      </c>
      <c r="BI67" s="291">
        <v>2587.7820099619107</v>
      </c>
      <c r="BJ67" s="291">
        <v>3173.8353354819806</v>
      </c>
      <c r="BK67" s="388">
        <v>220</v>
      </c>
      <c r="BL67" s="389">
        <f>('Cost-Effectiveness Level'!$B$3*BG67)+('Cost-Effectiveness Level'!$C$3*BH67)+('Cost-Effectiveness Level'!$D$3*BI67)+('Cost-Effectiveness Level'!$E$3*BJ67)</f>
        <v>1606.4254321711105</v>
      </c>
    </row>
    <row r="68" spans="1:64" ht="12.75">
      <c r="A68" s="506" t="s">
        <v>492</v>
      </c>
      <c r="B68" s="507">
        <v>850</v>
      </c>
      <c r="C68" s="507">
        <v>1350</v>
      </c>
      <c r="D68" s="507">
        <v>2184</v>
      </c>
      <c r="E68" s="508">
        <f>SUMPRODUCT('Cost-Effectiveness Level'!$I$3:$K$3,B68:D68)</f>
        <v>1600.28</v>
      </c>
      <c r="AP68" s="5"/>
      <c r="AQ68" s="290">
        <v>2026.4283621447407</v>
      </c>
      <c r="AR68" s="291">
        <v>2358.4236741869327</v>
      </c>
      <c r="AS68" s="291">
        <v>4217.345443891005</v>
      </c>
      <c r="AT68" s="291">
        <v>5075.798417814241</v>
      </c>
      <c r="AU68" s="388">
        <v>200</v>
      </c>
      <c r="AV68" s="389">
        <f>('Cost-Effectiveness Level'!$B$3*AQ68)+('Cost-Effectiveness Level'!$C$3*AR68)+('Cost-Effectiveness Level'!$D$3*AS68)+('Cost-Effectiveness Level'!$E$3*AT68)</f>
        <v>2892.6237913858777</v>
      </c>
      <c r="AY68" s="290">
        <v>1577.292704365661</v>
      </c>
      <c r="AZ68" s="291">
        <v>1861.441547026077</v>
      </c>
      <c r="BA68" s="291">
        <v>3504.541459126868</v>
      </c>
      <c r="BB68" s="291">
        <v>4321.97480222678</v>
      </c>
      <c r="BC68" s="388">
        <v>200</v>
      </c>
      <c r="BD68" s="389">
        <f>('Cost-Effectiveness Level'!$B$3*AY68)+('Cost-Effectiveness Level'!$C$3*AZ68)+('Cost-Effectiveness Level'!$D$3*BA68)+('Cost-Effectiveness Level'!$E$3*BB68)</f>
        <v>2338.4134192792267</v>
      </c>
      <c r="BG68" s="290">
        <v>720.6856138294755</v>
      </c>
      <c r="BH68" s="291">
        <v>843.568707881629</v>
      </c>
      <c r="BI68" s="291">
        <v>2032.581306768239</v>
      </c>
      <c r="BJ68" s="291">
        <v>2482.1564605918547</v>
      </c>
      <c r="BK68" s="388">
        <v>200</v>
      </c>
      <c r="BL68" s="389">
        <f>('Cost-Effectiveness Level'!$B$3*BG68)+('Cost-Effectiveness Level'!$C$3*BH68)+('Cost-Effectiveness Level'!$D$3*BI68)+('Cost-Effectiveness Level'!$E$3*BJ68)</f>
        <v>1198.1746264283622</v>
      </c>
    </row>
    <row r="69" spans="1:64" ht="12.75">
      <c r="A69" s="321" t="s">
        <v>203</v>
      </c>
      <c r="B69" s="329">
        <f aca="true" t="shared" si="33" ref="B69:B76">VLOOKUP(A69,$A$6:$H$36,6,FALSE)</f>
        <v>125.04101773323053</v>
      </c>
      <c r="C69" s="329">
        <f aca="true" t="shared" si="34" ref="C69:C76">VLOOKUP(A69,$A$6:$H$36,7,FALSE)</f>
        <v>156.06971472629144</v>
      </c>
      <c r="D69" s="329">
        <f aca="true" t="shared" si="35" ref="D69:D76">VLOOKUP(A69,$A$6:$H$36,8,FALSE)</f>
        <v>234.79924441017732</v>
      </c>
      <c r="E69" s="410"/>
      <c r="F69" s="5"/>
      <c r="G69" s="377"/>
      <c r="AD69" s="412"/>
      <c r="AE69" s="379"/>
      <c r="AF69" s="378"/>
      <c r="AG69" s="379"/>
      <c r="AH69" s="379"/>
      <c r="AP69" s="5"/>
      <c r="AQ69" s="290">
        <v>1532.3469088778202</v>
      </c>
      <c r="AR69" s="291">
        <v>1790.1259888661002</v>
      </c>
      <c r="AS69" s="291">
        <v>3409.6103135071785</v>
      </c>
      <c r="AT69" s="291">
        <v>4156.3433929094645</v>
      </c>
      <c r="AU69" s="388">
        <v>180</v>
      </c>
      <c r="AV69" s="389">
        <f>('Cost-Effectiveness Level'!$B$3*AQ69)+('Cost-Effectiveness Level'!$C$3*AR69)+('Cost-Effectiveness Level'!$D$3*AS69)+('Cost-Effectiveness Level'!$E$3*AT69)</f>
        <v>2261.752124230882</v>
      </c>
      <c r="AY69" s="290">
        <v>1142.865514210372</v>
      </c>
      <c r="AZ69" s="291">
        <v>1358.9803691766774</v>
      </c>
      <c r="BA69" s="291">
        <v>2765.836507471433</v>
      </c>
      <c r="BB69" s="291">
        <v>3454.8784060943453</v>
      </c>
      <c r="BC69" s="388">
        <v>180</v>
      </c>
      <c r="BD69" s="389">
        <f>('Cost-Effectiveness Level'!$B$3*AY69)+('Cost-Effectiveness Level'!$C$3*AZ69)+('Cost-Effectiveness Level'!$D$3*BA69)+('Cost-Effectiveness Level'!$E$3*BB69)</f>
        <v>1772.2663346029885</v>
      </c>
      <c r="BG69" s="290">
        <v>450.6006445941987</v>
      </c>
      <c r="BH69" s="291">
        <v>540.7266334602989</v>
      </c>
      <c r="BI69" s="291">
        <v>1500.1757984178143</v>
      </c>
      <c r="BJ69" s="291">
        <v>1851.2745385291532</v>
      </c>
      <c r="BK69" s="388">
        <v>180</v>
      </c>
      <c r="BL69" s="389">
        <f>('Cost-Effectiveness Level'!$B$3*BG69)+('Cost-Effectiveness Level'!$C$3*BH69)+('Cost-Effectiveness Level'!$D$3*BI69)+('Cost-Effectiveness Level'!$E$3*BJ69)</f>
        <v>828.0911221799005</v>
      </c>
    </row>
    <row r="70" spans="1:64" ht="12.75">
      <c r="A70" s="321" t="s">
        <v>480</v>
      </c>
      <c r="B70" s="329">
        <f t="shared" si="33"/>
        <v>138.55</v>
      </c>
      <c r="C70" s="329">
        <f t="shared" si="34"/>
        <v>154.035</v>
      </c>
      <c r="D70" s="329">
        <f t="shared" si="35"/>
        <v>118.664</v>
      </c>
      <c r="E70" s="410"/>
      <c r="F70" s="379"/>
      <c r="G70" s="377"/>
      <c r="AD70" s="412"/>
      <c r="AE70" s="379"/>
      <c r="AF70" s="378"/>
      <c r="AG70" s="379"/>
      <c r="AH70" s="379"/>
      <c r="AP70" s="5"/>
      <c r="AQ70" s="290">
        <v>1064.4594198652212</v>
      </c>
      <c r="AR70" s="291">
        <v>1258.3943744506298</v>
      </c>
      <c r="AS70" s="291">
        <v>2635.071784353941</v>
      </c>
      <c r="AT70" s="291">
        <v>3262.6428362144743</v>
      </c>
      <c r="AU70" s="388">
        <v>160</v>
      </c>
      <c r="AV70" s="389">
        <f>('Cost-Effectiveness Level'!$B$3*AQ70)+('Cost-Effectiveness Level'!$C$3*AR70)+('Cost-Effectiveness Level'!$D$3*AS70)+('Cost-Effectiveness Level'!$E$3*AT70)</f>
        <v>1663.989159097568</v>
      </c>
      <c r="AY70" s="290">
        <v>767.4479929680634</v>
      </c>
      <c r="AZ70" s="291">
        <v>909.9912100791094</v>
      </c>
      <c r="BA70" s="291">
        <v>2077.1755054204514</v>
      </c>
      <c r="BB70" s="291">
        <v>2624.846176384413</v>
      </c>
      <c r="BC70" s="388">
        <v>160</v>
      </c>
      <c r="BD70" s="389">
        <f>('Cost-Effectiveness Level'!$B$3*AY70)+('Cost-Effectiveness Level'!$C$3*AZ70)+('Cost-Effectiveness Level'!$D$3*BA70)+('Cost-Effectiveness Level'!$E$3*BB70)</f>
        <v>1259.021388807501</v>
      </c>
      <c r="BG70" s="290">
        <v>226.04746557280987</v>
      </c>
      <c r="BH70" s="291">
        <v>297.8318195136244</v>
      </c>
      <c r="BI70" s="291">
        <v>1012.3351889832992</v>
      </c>
      <c r="BJ70" s="291">
        <v>1280.603574567829</v>
      </c>
      <c r="BK70" s="388">
        <v>160</v>
      </c>
      <c r="BL70" s="389">
        <f>('Cost-Effectiveness Level'!$B$3*BG70)+('Cost-Effectiveness Level'!$C$3*BH70)+('Cost-Effectiveness Level'!$D$3*BI70)+('Cost-Effectiveness Level'!$E$3*BJ70)</f>
        <v>511.2393788455904</v>
      </c>
    </row>
    <row r="71" spans="1:64" ht="12.75">
      <c r="A71" s="321" t="s">
        <v>481</v>
      </c>
      <c r="B71" s="329">
        <f t="shared" si="33"/>
        <v>0</v>
      </c>
      <c r="C71" s="329">
        <f t="shared" si="34"/>
        <v>71.685</v>
      </c>
      <c r="D71" s="329">
        <f t="shared" si="35"/>
        <v>0</v>
      </c>
      <c r="E71" s="410"/>
      <c r="F71" s="379"/>
      <c r="G71" s="377"/>
      <c r="AP71" s="5"/>
      <c r="AQ71" s="290">
        <v>658.716671549956</v>
      </c>
      <c r="AR71" s="291">
        <v>788.7489012598887</v>
      </c>
      <c r="AS71" s="291">
        <v>1897.9783181951364</v>
      </c>
      <c r="AT71" s="291">
        <v>2399.619103428069</v>
      </c>
      <c r="AU71" s="388">
        <v>140</v>
      </c>
      <c r="AV71" s="389">
        <f>('Cost-Effectiveness Level'!$B$3*AQ71)+('Cost-Effectiveness Level'!$C$3*AR71)+('Cost-Effectiveness Level'!$D$3*AS71)+('Cost-Effectiveness Level'!$E$3*AT71)</f>
        <v>1120.593319660123</v>
      </c>
      <c r="AY71" s="290">
        <v>442.9827131555817</v>
      </c>
      <c r="AZ71" s="291">
        <v>522.5607969528274</v>
      </c>
      <c r="BA71" s="291">
        <v>1449.047758570173</v>
      </c>
      <c r="BB71" s="291">
        <v>1838.8807500732496</v>
      </c>
      <c r="BC71" s="388">
        <v>140</v>
      </c>
      <c r="BD71" s="389">
        <f>('Cost-Effectiveness Level'!$B$3*AY71)+('Cost-Effectiveness Level'!$C$3*AZ71)+('Cost-Effectiveness Level'!$D$3*BA71)+('Cost-Effectiveness Level'!$E$3*BB71)</f>
        <v>804.0829182537358</v>
      </c>
      <c r="BG71" s="290">
        <v>73.54233811895693</v>
      </c>
      <c r="BH71" s="291">
        <v>124.64107823029593</v>
      </c>
      <c r="BI71" s="291">
        <v>586.6979197187226</v>
      </c>
      <c r="BJ71" s="291">
        <v>805.332552007032</v>
      </c>
      <c r="BK71" s="388">
        <v>140</v>
      </c>
      <c r="BL71" s="389">
        <f>('Cost-Effectiveness Level'!$B$3*BG71)+('Cost-Effectiveness Level'!$C$3*BH71)+('Cost-Effectiveness Level'!$D$3*BI71)+('Cost-Effectiveness Level'!$E$3*BJ71)</f>
        <v>263.9701142689716</v>
      </c>
    </row>
    <row r="72" spans="1:64" ht="13.5" thickBot="1">
      <c r="A72" s="512" t="s">
        <v>204</v>
      </c>
      <c r="B72" s="418">
        <f t="shared" si="33"/>
        <v>90.07283834586465</v>
      </c>
      <c r="C72" s="418">
        <f t="shared" si="34"/>
        <v>143.05686090225564</v>
      </c>
      <c r="D72" s="418">
        <f t="shared" si="35"/>
        <v>77.14473684210526</v>
      </c>
      <c r="E72" s="402"/>
      <c r="F72" s="379"/>
      <c r="G72" s="377"/>
      <c r="AP72" s="5"/>
      <c r="AQ72" s="426">
        <v>336.1265748608263</v>
      </c>
      <c r="AR72" s="427">
        <v>395.839437445063</v>
      </c>
      <c r="AS72" s="427">
        <v>1231.4386170524465</v>
      </c>
      <c r="AT72" s="427">
        <v>1596.1031350717844</v>
      </c>
      <c r="AU72" s="428">
        <v>120</v>
      </c>
      <c r="AV72" s="429">
        <f>('Cost-Effectiveness Level'!$B$3*AQ72)+('Cost-Effectiveness Level'!$C$3*AR72)+('Cost-Effectiveness Level'!$D$3*AS72)+('Cost-Effectiveness Level'!$E$3*AT72)</f>
        <v>652.8098447113977</v>
      </c>
      <c r="AY72" s="426">
        <v>193.6126574860826</v>
      </c>
      <c r="AZ72" s="427">
        <v>234.77878699091707</v>
      </c>
      <c r="BA72" s="427">
        <v>902.666276003516</v>
      </c>
      <c r="BB72" s="427">
        <v>1161.0899501904485</v>
      </c>
      <c r="BC72" s="428">
        <v>120</v>
      </c>
      <c r="BD72" s="429">
        <f>('Cost-Effectiveness Level'!$B$3*AY72)+('Cost-Effectiveness Level'!$C$3*AZ72)+('Cost-Effectiveness Level'!$D$3*BA72)+('Cost-Effectiveness Level'!$E$3*BB72)</f>
        <v>439.8329915030765</v>
      </c>
      <c r="BG72" s="426">
        <v>8.233225900966891</v>
      </c>
      <c r="BH72" s="427">
        <v>25.402871374157634</v>
      </c>
      <c r="BI72" s="427">
        <v>261.0899501904483</v>
      </c>
      <c r="BJ72" s="427">
        <v>418.69323176091416</v>
      </c>
      <c r="BK72" s="428">
        <v>120</v>
      </c>
      <c r="BL72" s="429">
        <f>('Cost-Effectiveness Level'!$B$3*BG72)+('Cost-Effectiveness Level'!$C$3*BH72)+('Cost-Effectiveness Level'!$D$3*BI72)+('Cost-Effectiveness Level'!$E$3*BJ72)</f>
        <v>100.55523000292999</v>
      </c>
    </row>
    <row r="73" spans="1:64" ht="13.5" thickBot="1">
      <c r="A73" s="419" t="s">
        <v>487</v>
      </c>
      <c r="B73" s="420">
        <f t="shared" si="33"/>
        <v>102.91970802919708</v>
      </c>
      <c r="C73" s="420">
        <f t="shared" si="34"/>
        <v>163.13868613138686</v>
      </c>
      <c r="D73" s="420">
        <f t="shared" si="35"/>
        <v>344.8905109489051</v>
      </c>
      <c r="E73" s="508">
        <f>SUMPRODUCT('Cost-Effectiveness Level'!$I$3:$K$3,B73:D73)</f>
        <v>227.43065693430657</v>
      </c>
      <c r="G73" s="377"/>
      <c r="AP73" s="5"/>
      <c r="AQ73" s="430">
        <v>171.51694986226312</v>
      </c>
      <c r="AR73" s="430">
        <v>198.65493313086188</v>
      </c>
      <c r="AS73" s="430">
        <v>798.9770236206315</v>
      </c>
      <c r="AT73" s="430">
        <v>1061.645664575092</v>
      </c>
      <c r="AU73" s="431">
        <v>100</v>
      </c>
      <c r="AV73" s="432">
        <f>('Cost-Effectiveness Level'!$B$3*AQ73)+('Cost-Effectiveness Level'!$C$3*AR73)+('Cost-Effectiveness Level'!$D$3*AS73)+('Cost-Effectiveness Level'!$E$3*AT73)</f>
        <v>386.457395671796</v>
      </c>
      <c r="AY73" s="433">
        <v>84.62149882055914</v>
      </c>
      <c r="AZ73" s="433">
        <v>105.48261397018325</v>
      </c>
      <c r="BA73" s="433">
        <v>562.304728063659</v>
      </c>
      <c r="BB73" s="433">
        <v>733.1252297787971</v>
      </c>
      <c r="BC73" s="434">
        <v>100</v>
      </c>
      <c r="BD73" s="435">
        <f>('Cost-Effectiveness Level'!$B$3*AY73)+('Cost-Effectiveness Level'!$C$3*AZ73)+('Cost-Effectiveness Level'!$D$3*BA73)+('Cost-Effectiveness Level'!$E$3*BB73)</f>
        <v>246.89805025405806</v>
      </c>
      <c r="BG73" s="433">
        <v>0.9217276805464926</v>
      </c>
      <c r="BH73" s="433">
        <v>5.177312995156246</v>
      </c>
      <c r="BI73" s="433">
        <v>116.18920026703378</v>
      </c>
      <c r="BJ73" s="433">
        <v>217.67904685525224</v>
      </c>
      <c r="BK73" s="434">
        <v>100</v>
      </c>
      <c r="BL73" s="435">
        <f>('Cost-Effectiveness Level'!$B$3*BG73)+('Cost-Effectiveness Level'!$C$3*BH73)+('Cost-Effectiveness Level'!$D$3*BI73)+('Cost-Effectiveness Level'!$E$3*BJ73)</f>
        <v>42.704254443208484</v>
      </c>
    </row>
    <row r="74" spans="1:42" ht="12.75">
      <c r="A74" s="421" t="s">
        <v>205</v>
      </c>
      <c r="B74" s="327">
        <f t="shared" si="33"/>
        <v>18.799999999999997</v>
      </c>
      <c r="C74" s="327">
        <f t="shared" si="34"/>
        <v>18.799999999999997</v>
      </c>
      <c r="D74" s="327">
        <f t="shared" si="35"/>
        <v>18.799999999999997</v>
      </c>
      <c r="E74" s="408"/>
      <c r="G74" s="377"/>
      <c r="AP74" s="5"/>
    </row>
    <row r="75" spans="1:7" ht="12.75">
      <c r="A75" s="422" t="s">
        <v>491</v>
      </c>
      <c r="B75" s="329">
        <f t="shared" si="33"/>
        <v>55.08</v>
      </c>
      <c r="C75" s="329">
        <f t="shared" si="34"/>
        <v>87.47999999999999</v>
      </c>
      <c r="D75" s="329">
        <f t="shared" si="35"/>
        <v>141.5232</v>
      </c>
      <c r="E75" s="410"/>
      <c r="G75" s="377"/>
    </row>
    <row r="76" spans="1:7" ht="12.75">
      <c r="A76" s="513" t="s">
        <v>206</v>
      </c>
      <c r="B76" s="329">
        <f t="shared" si="33"/>
        <v>0</v>
      </c>
      <c r="C76" s="329">
        <f t="shared" si="34"/>
        <v>0</v>
      </c>
      <c r="D76" s="329">
        <f t="shared" si="35"/>
        <v>286.128</v>
      </c>
      <c r="E76" s="410"/>
      <c r="G76" s="377"/>
    </row>
    <row r="77" spans="1:7" ht="12.75">
      <c r="A77" s="397" t="s">
        <v>234</v>
      </c>
      <c r="B77" s="329">
        <f>SUM(B69:B76)</f>
        <v>530.4635641082923</v>
      </c>
      <c r="C77" s="329">
        <f>SUM(C69:C76)</f>
        <v>794.2652617599339</v>
      </c>
      <c r="D77" s="329">
        <f>SUM(D69:D76)</f>
        <v>1221.9496922011876</v>
      </c>
      <c r="E77" s="423">
        <f>('Cost-Effectiveness Level'!$I$3*B77)+('Cost-Effectiveness Level'!$J$3*C77)+('Cost-Effectiveness Level'!$K$3*D77)</f>
        <v>921.1323830149321</v>
      </c>
      <c r="F77" s="379"/>
      <c r="G77" s="377"/>
    </row>
    <row r="78" spans="1:7" ht="12.75">
      <c r="A78" s="509" t="s">
        <v>235</v>
      </c>
      <c r="B78" s="510">
        <f ca="1">IF(ISNA(INDEX($AU$5:$AV$73,MATCH(B77,$AU$5:$AU$73,0),1)),TREND(OFFSET(INDEX($AU$5:$AV$73,MATCH(B77,$AU$5:$AU$73,-1),2),0,0,2,1),OFFSET(INDEX($AU$5:$AV$73,MATCH(B77,$AU$5:$AU$73,-1),1),0,0,2,1),B77),INDEX($AU$5:$AV$73,MATCH(B77,$AU$5:$AU$73,0),2))</f>
        <v>15070.122043760688</v>
      </c>
      <c r="C78" s="510">
        <f ca="1">IF(ISNA(INDEX($BC$5:$BD$73,MATCH(C77,$BC$5:$BC$73,0),1)),TREND(OFFSET(INDEX($BC$5:$BD$73,MATCH(C77,$BC$5:$BC$73,-1),2),0,0,2,1),OFFSET(INDEX($BC$5:$BD$73,MATCH(C77,$BC$5:$BC$73,-1),1),0,0,2,1),C77),INDEX($BC$5:$BD$73,MATCH(C77,$BC$5:$BC$73,0),2))</f>
        <v>24266.96822698453</v>
      </c>
      <c r="D78" s="510">
        <f ca="1">IF(ISNA(INDEX($BK$5:$BL$73,MATCH(D77,$BK$5:$BK$73,0),1)),TREND(OFFSET(INDEX($BK$5:$BL$73,MATCH(D77,$BK$5:$BK$73,-1),2),0,0,2,1),OFFSET(INDEX($BK$5:$BL$73,MATCH(D77,$BK$5:$BK$73,-1),1),0,0,2,1),D77),INDEX($BK$5:$BL$73,MATCH(D77,$BK$5:$BK$73,0),2))</f>
        <v>37023.47317872868</v>
      </c>
      <c r="E78" s="511">
        <f>('Cost-Effectiveness Level'!$I$3*B78)+('Cost-Effectiveness Level'!$J$3*C78)+('Cost-Effectiveness Level'!$K$3*D78)</f>
        <v>27785.331070072305</v>
      </c>
      <c r="G78" s="379"/>
    </row>
    <row r="79" spans="1:7" ht="13.5" thickBot="1">
      <c r="A79" s="447" t="s">
        <v>236</v>
      </c>
      <c r="B79" s="448">
        <f>B78/'Cost-Effectiveness Level'!$I$2</f>
        <v>17.729555345600808</v>
      </c>
      <c r="C79" s="448">
        <f>C78/'Cost-Effectiveness Level'!$J$2</f>
        <v>17.97553201998854</v>
      </c>
      <c r="D79" s="448">
        <f>D78/'Cost-Effectiveness Level'!$K$2</f>
        <v>16.952139733850128</v>
      </c>
      <c r="E79" s="449">
        <f>E78/'Cost-Effectiveness Level'!$L$2</f>
        <v>17.36279342994495</v>
      </c>
      <c r="G79" s="379"/>
    </row>
    <row r="80" spans="1:19" ht="13.5" thickBot="1">
      <c r="A80" s="424"/>
      <c r="B80" s="425"/>
      <c r="C80" s="425"/>
      <c r="D80" s="425"/>
      <c r="E80" s="425"/>
      <c r="G80" s="379"/>
      <c r="S80" s="437"/>
    </row>
    <row r="81" spans="1:22" ht="13.5" thickBot="1">
      <c r="A81" s="743" t="s">
        <v>560</v>
      </c>
      <c r="B81" s="722"/>
      <c r="C81" s="722"/>
      <c r="D81" s="716"/>
      <c r="E81" s="416" t="s">
        <v>218</v>
      </c>
      <c r="G81"/>
      <c r="H81"/>
      <c r="I81"/>
      <c r="J81"/>
      <c r="K81"/>
      <c r="L81"/>
      <c r="M81"/>
      <c r="S81" s="437"/>
      <c r="T81" s="437"/>
      <c r="U81" s="437"/>
      <c r="V81" s="437"/>
    </row>
    <row r="82" spans="1:22" ht="13.5" thickBot="1">
      <c r="A82" s="368" t="s">
        <v>492</v>
      </c>
      <c r="B82" s="369">
        <v>850</v>
      </c>
      <c r="C82" s="369">
        <v>1350</v>
      </c>
      <c r="D82" s="369">
        <v>2184</v>
      </c>
      <c r="E82" s="370">
        <f>('Cost-Effectiveness Level'!$I$3*B82)+('Cost-Effectiveness Level'!$J$3*C82)+('Cost-Effectiveness Level'!$K$3*D82)</f>
        <v>1600.28</v>
      </c>
      <c r="G82"/>
      <c r="H82"/>
      <c r="I82"/>
      <c r="J82"/>
      <c r="K82"/>
      <c r="L82"/>
      <c r="M82"/>
      <c r="S82" s="437"/>
      <c r="T82" s="437"/>
      <c r="U82" s="437"/>
      <c r="V82" s="437"/>
    </row>
    <row r="83" spans="1:19" ht="12.75">
      <c r="A83" s="333" t="s">
        <v>233</v>
      </c>
      <c r="B83" s="329">
        <f aca="true" t="shared" si="36" ref="B83:B90">VLOOKUP(A83,$A$6:$H$36,6,FALSE)</f>
        <v>76.14</v>
      </c>
      <c r="C83" s="329">
        <f aca="true" t="shared" si="37" ref="C83:C90">VLOOKUP(A83,$A$6:$H$36,7,FALSE)</f>
        <v>95.034</v>
      </c>
      <c r="D83" s="329">
        <f aca="true" t="shared" si="38" ref="D83:D90">VLOOKUP(A83,$A$6:$H$36,8,FALSE)</f>
        <v>142.974</v>
      </c>
      <c r="E83" s="410"/>
      <c r="G83"/>
      <c r="H83"/>
      <c r="I83"/>
      <c r="J83"/>
      <c r="K83"/>
      <c r="L83"/>
      <c r="M83"/>
      <c r="S83" s="437"/>
    </row>
    <row r="84" spans="1:19" ht="12.75">
      <c r="A84" s="321" t="s">
        <v>172</v>
      </c>
      <c r="B84" s="329">
        <f t="shared" si="36"/>
        <v>51</v>
      </c>
      <c r="C84" s="329">
        <f t="shared" si="37"/>
        <v>56.699999999999996</v>
      </c>
      <c r="D84" s="329">
        <f t="shared" si="38"/>
        <v>43.68</v>
      </c>
      <c r="E84" s="410"/>
      <c r="G84"/>
      <c r="H84"/>
      <c r="I84"/>
      <c r="J84"/>
      <c r="K84"/>
      <c r="L84"/>
      <c r="M84"/>
      <c r="P84" s="379"/>
      <c r="S84" s="437"/>
    </row>
    <row r="85" spans="1:22" ht="12.75">
      <c r="A85" s="417" t="s">
        <v>483</v>
      </c>
      <c r="B85" s="329">
        <f t="shared" si="36"/>
        <v>0</v>
      </c>
      <c r="C85" s="329">
        <f t="shared" si="37"/>
        <v>19.44</v>
      </c>
      <c r="D85" s="329">
        <f t="shared" si="38"/>
        <v>0</v>
      </c>
      <c r="E85" s="410"/>
      <c r="G85"/>
      <c r="H85"/>
      <c r="I85"/>
      <c r="J85"/>
      <c r="K85"/>
      <c r="L85"/>
      <c r="M85"/>
      <c r="P85" s="379"/>
      <c r="S85" s="437"/>
      <c r="U85" s="379"/>
      <c r="V85" s="437"/>
    </row>
    <row r="86" spans="1:34" ht="13.5" thickBot="1">
      <c r="A86" s="321" t="s">
        <v>174</v>
      </c>
      <c r="B86" s="329">
        <f t="shared" si="36"/>
        <v>34.85</v>
      </c>
      <c r="C86" s="329">
        <f t="shared" si="37"/>
        <v>55.35</v>
      </c>
      <c r="D86" s="329">
        <f t="shared" si="38"/>
        <v>29.848000000000003</v>
      </c>
      <c r="E86" s="410"/>
      <c r="G86"/>
      <c r="H86"/>
      <c r="I86"/>
      <c r="J86"/>
      <c r="K86"/>
      <c r="L86"/>
      <c r="M86"/>
      <c r="P86" s="379"/>
      <c r="R86" s="437"/>
      <c r="S86" s="437"/>
      <c r="U86" s="644"/>
      <c r="V86" s="437"/>
      <c r="W86" s="5"/>
      <c r="X86" s="5"/>
      <c r="Y86" s="5"/>
      <c r="Z86" s="5"/>
      <c r="AA86" s="5"/>
      <c r="AD86" s="5"/>
      <c r="AE86" s="5"/>
      <c r="AF86" s="5"/>
      <c r="AG86" s="5"/>
      <c r="AH86" s="5"/>
    </row>
    <row r="87" spans="1:34" ht="13.5" thickBot="1">
      <c r="A87" s="636" t="str">
        <f>A25</f>
        <v>CLASS 120 WINDOW</v>
      </c>
      <c r="B87" s="420">
        <f t="shared" si="36"/>
        <v>102.91970802919708</v>
      </c>
      <c r="C87" s="420">
        <f t="shared" si="37"/>
        <v>163.13868613138686</v>
      </c>
      <c r="D87" s="420">
        <f t="shared" si="38"/>
        <v>344.8905109489051</v>
      </c>
      <c r="E87" s="370">
        <f>('Cost-Effectiveness Level'!$I$3*B87)+('Cost-Effectiveness Level'!$J$3*C87)+('Cost-Effectiveness Level'!$K$3*D87)</f>
        <v>227.43065693430657</v>
      </c>
      <c r="G87"/>
      <c r="H87"/>
      <c r="I87"/>
      <c r="J87"/>
      <c r="K87"/>
      <c r="L87"/>
      <c r="M87"/>
      <c r="P87" s="379"/>
      <c r="R87" s="437"/>
      <c r="S87" s="437"/>
      <c r="U87" s="437"/>
      <c r="V87" s="437"/>
      <c r="W87" s="5"/>
      <c r="X87" s="5"/>
      <c r="Y87" s="5"/>
      <c r="Z87" s="5"/>
      <c r="AA87" s="5"/>
      <c r="AD87" s="5"/>
      <c r="AE87" s="5"/>
      <c r="AF87" s="5"/>
      <c r="AG87" s="5"/>
      <c r="AH87" s="5"/>
    </row>
    <row r="88" spans="1:34" ht="12.75">
      <c r="A88" s="450" t="s">
        <v>205</v>
      </c>
      <c r="B88" s="329">
        <f t="shared" si="36"/>
        <v>18.799999999999997</v>
      </c>
      <c r="C88" s="329">
        <f t="shared" si="37"/>
        <v>18.799999999999997</v>
      </c>
      <c r="D88" s="329">
        <f t="shared" si="38"/>
        <v>18.799999999999997</v>
      </c>
      <c r="E88" s="410"/>
      <c r="G88"/>
      <c r="H88"/>
      <c r="I88"/>
      <c r="J88"/>
      <c r="K88"/>
      <c r="L88"/>
      <c r="M88"/>
      <c r="P88" s="379"/>
      <c r="R88" s="437"/>
      <c r="S88" s="437"/>
      <c r="U88" s="437"/>
      <c r="V88" s="437"/>
      <c r="W88" s="5"/>
      <c r="X88" s="5"/>
      <c r="Y88" s="5"/>
      <c r="Z88" s="5"/>
      <c r="AA88" s="5"/>
      <c r="AD88" s="5"/>
      <c r="AE88" s="5"/>
      <c r="AF88" s="5"/>
      <c r="AG88" s="5"/>
      <c r="AH88" s="5"/>
    </row>
    <row r="89" spans="1:34" ht="12.75">
      <c r="A89" s="422" t="s">
        <v>491</v>
      </c>
      <c r="B89" s="329">
        <f t="shared" si="36"/>
        <v>55.08</v>
      </c>
      <c r="C89" s="329">
        <f t="shared" si="37"/>
        <v>87.47999999999999</v>
      </c>
      <c r="D89" s="329">
        <f t="shared" si="38"/>
        <v>141.5232</v>
      </c>
      <c r="E89" s="410"/>
      <c r="G89"/>
      <c r="H89"/>
      <c r="I89"/>
      <c r="J89"/>
      <c r="K89"/>
      <c r="L89"/>
      <c r="M89"/>
      <c r="P89" s="379"/>
      <c r="R89" s="437"/>
      <c r="S89" s="437"/>
      <c r="T89" s="437"/>
      <c r="U89" s="437"/>
      <c r="V89" s="437"/>
      <c r="W89" s="5"/>
      <c r="X89" s="5"/>
      <c r="Y89" s="5"/>
      <c r="Z89" s="5"/>
      <c r="AA89" s="5"/>
      <c r="AD89" s="5"/>
      <c r="AE89" s="5"/>
      <c r="AF89" s="5"/>
      <c r="AG89" s="5"/>
      <c r="AH89" s="5"/>
    </row>
    <row r="90" spans="1:34" ht="12.75">
      <c r="A90" s="589" t="s">
        <v>185</v>
      </c>
      <c r="B90" s="329">
        <f t="shared" si="36"/>
        <v>0</v>
      </c>
      <c r="C90" s="329">
        <f t="shared" si="37"/>
        <v>0</v>
      </c>
      <c r="D90" s="329">
        <f t="shared" si="38"/>
        <v>94.10399999999998</v>
      </c>
      <c r="E90" s="410"/>
      <c r="G90"/>
      <c r="H90"/>
      <c r="I90"/>
      <c r="J90"/>
      <c r="K90"/>
      <c r="L90"/>
      <c r="M90"/>
      <c r="P90" s="379"/>
      <c r="R90" s="437"/>
      <c r="S90" s="437"/>
      <c r="T90" s="437"/>
      <c r="U90" s="437"/>
      <c r="V90" s="437"/>
      <c r="W90" s="5"/>
      <c r="X90" s="5"/>
      <c r="Y90" s="5"/>
      <c r="Z90" s="5"/>
      <c r="AA90" s="5"/>
      <c r="AD90" s="5"/>
      <c r="AE90" s="5"/>
      <c r="AF90" s="5"/>
      <c r="AG90" s="5"/>
      <c r="AH90" s="5"/>
    </row>
    <row r="91" spans="1:34" ht="13.5" thickBot="1">
      <c r="A91" s="641" t="s">
        <v>234</v>
      </c>
      <c r="B91" s="642">
        <f>SUM(B83:B90)</f>
        <v>338.7897080291971</v>
      </c>
      <c r="C91" s="642">
        <f>SUM(C83:C90)</f>
        <v>495.94268613138684</v>
      </c>
      <c r="D91" s="642">
        <f>SUM(D83:D90)</f>
        <v>815.8197109489049</v>
      </c>
      <c r="E91" s="643">
        <f>('Cost-Effectiveness Level'!$I$3*B91)+('Cost-Effectiveness Level'!$J$3*C91)+('Cost-Effectiveness Level'!$K$3*D91)</f>
        <v>598.8604409343064</v>
      </c>
      <c r="G91"/>
      <c r="H91"/>
      <c r="I91"/>
      <c r="J91"/>
      <c r="K91"/>
      <c r="L91"/>
      <c r="M91"/>
      <c r="P91" s="379"/>
      <c r="R91" s="437"/>
      <c r="S91" s="437"/>
      <c r="T91" s="437"/>
      <c r="U91" s="437"/>
      <c r="V91" s="437"/>
      <c r="W91" s="5"/>
      <c r="X91" s="5"/>
      <c r="Y91" s="5"/>
      <c r="Z91" s="5"/>
      <c r="AA91" s="5"/>
      <c r="AD91" s="5"/>
      <c r="AE91" s="5"/>
      <c r="AF91" s="5"/>
      <c r="AG91" s="5"/>
      <c r="AH91" s="5"/>
    </row>
    <row r="92" spans="1:34" ht="13.5" thickBot="1">
      <c r="A92" s="621" t="s">
        <v>235</v>
      </c>
      <c r="B92" s="622">
        <f ca="1">IF(ISNA(INDEX($AU$5:$AV$73,MATCH(B91,$AU$5:$AU$73,0),1)),TREND(OFFSET(INDEX($AU$5:$AV$73,MATCH(B91,$AU$5:$AU$73,-1),2),0,0,2,1),OFFSET(INDEX($AU$5:$AV$73,MATCH(B91,$AU$5:$AU$73,-1),1),0,0,2,1),B91),INDEX($AU$5:$AV$73,MATCH(B91,$AU$5:$AU$73,0),2))</f>
        <v>7735.810539275577</v>
      </c>
      <c r="C92" s="622">
        <f ca="1">IF(ISNA(INDEX($BC$5:$BD$73,MATCH(C91,$BC$5:$BC$73,0),1)),TREND(OFFSET(INDEX($BC$5:$BD$73,MATCH(C91,$BC$5:$BC$73,-1),2),0,0,2,1),OFFSET(INDEX($BC$5:$BD$73,MATCH(C91,$BC$5:$BC$73,-1),1),0,0,2,1),C91),INDEX($BC$5:$BD$73,MATCH(C91,$BC$5:$BC$73,0),2))</f>
        <v>12668.521952820971</v>
      </c>
      <c r="D92" s="622">
        <f ca="1">IF(ISNA(INDEX($BK$5:$BL$73,MATCH(D91,$BK$5:$BK$73,0),1)),TREND(OFFSET(INDEX($BK$5:$BL$73,MATCH(D91,$BK$5:$BK$73,-1),2),0,0,2,1),OFFSET(INDEX($BK$5:$BL$73,MATCH(D91,$BK$5:$BK$73,-1),1),0,0,2,1),D91),INDEX($BK$5:$BL$73,MATCH(D91,$BK$5:$BK$73,0),2))</f>
        <v>21339.210202243463</v>
      </c>
      <c r="E92" s="623">
        <f>('Cost-Effectiveness Level'!$I$3*B92)+('Cost-Effectiveness Level'!$J$3*C92)+('Cost-Effectiveness Level'!$K$3*D92)</f>
        <v>15323.668734869338</v>
      </c>
      <c r="G92"/>
      <c r="H92"/>
      <c r="I92"/>
      <c r="J92"/>
      <c r="K92"/>
      <c r="L92"/>
      <c r="M92"/>
      <c r="O92"/>
      <c r="P92" s="379"/>
      <c r="R92" s="437"/>
      <c r="S92" s="437"/>
      <c r="T92" s="437"/>
      <c r="U92" s="437"/>
      <c r="V92" s="437"/>
      <c r="W92" s="5"/>
      <c r="X92" s="5"/>
      <c r="Y92" s="5"/>
      <c r="Z92" s="5"/>
      <c r="AA92" s="5"/>
      <c r="AD92" s="5"/>
      <c r="AE92" s="5"/>
      <c r="AF92" s="5"/>
      <c r="AG92" s="5"/>
      <c r="AH92" s="5"/>
    </row>
    <row r="93" spans="1:34" ht="13.5" thickBot="1">
      <c r="A93" s="618" t="s">
        <v>236</v>
      </c>
      <c r="B93" s="619">
        <f>B92/'Cost-Effectiveness Level'!$I$2</f>
        <v>9.100953575618325</v>
      </c>
      <c r="C93" s="619">
        <f>C92/'Cost-Effectiveness Level'!$J$2</f>
        <v>9.384090335422941</v>
      </c>
      <c r="D93" s="619">
        <f>D92/'Cost-Effectiveness Level'!$K$2</f>
        <v>9.770700642052867</v>
      </c>
      <c r="E93" s="620">
        <f>E92/'Cost-Effectiveness Level'!$L$2</f>
        <v>9.575617226278737</v>
      </c>
      <c r="G93"/>
      <c r="H93"/>
      <c r="I93"/>
      <c r="J93"/>
      <c r="K93"/>
      <c r="L93"/>
      <c r="M93"/>
      <c r="O93"/>
      <c r="R93" s="437"/>
      <c r="S93" s="437"/>
      <c r="T93" s="437"/>
      <c r="U93" s="437"/>
      <c r="V93" s="437"/>
      <c r="W93" s="5"/>
      <c r="X93" s="5"/>
      <c r="Y93" s="5"/>
      <c r="Z93" s="5"/>
      <c r="AA93" s="5"/>
      <c r="AD93" s="5"/>
      <c r="AE93" s="5"/>
      <c r="AF93" s="5"/>
      <c r="AG93" s="5"/>
      <c r="AH93" s="5"/>
    </row>
    <row r="94" spans="1:34" ht="13.5" thickBot="1">
      <c r="A94" s="424"/>
      <c r="B94" s="425"/>
      <c r="C94" s="425"/>
      <c r="D94" s="425"/>
      <c r="E94" s="425"/>
      <c r="G94"/>
      <c r="H94"/>
      <c r="I94"/>
      <c r="J94"/>
      <c r="K94"/>
      <c r="L94"/>
      <c r="M94"/>
      <c r="O94"/>
      <c r="Q94" s="437"/>
      <c r="R94" s="437"/>
      <c r="S94" s="437"/>
      <c r="T94" s="437"/>
      <c r="U94" s="437"/>
      <c r="V94" s="437"/>
      <c r="W94" s="5"/>
      <c r="X94" s="5"/>
      <c r="Y94" s="5"/>
      <c r="Z94" s="5"/>
      <c r="AA94" s="5"/>
      <c r="AD94" s="5"/>
      <c r="AE94" s="5"/>
      <c r="AF94" s="5"/>
      <c r="AG94" s="5"/>
      <c r="AH94" s="5"/>
    </row>
    <row r="95" spans="1:34" ht="13.5" thickBot="1">
      <c r="A95" s="743" t="s">
        <v>561</v>
      </c>
      <c r="B95" s="722"/>
      <c r="C95" s="722"/>
      <c r="D95" s="716"/>
      <c r="E95" s="416" t="s">
        <v>218</v>
      </c>
      <c r="G95"/>
      <c r="H95"/>
      <c r="I95"/>
      <c r="J95"/>
      <c r="K95"/>
      <c r="L95"/>
      <c r="M95"/>
      <c r="O95"/>
      <c r="Q95" s="437"/>
      <c r="R95" s="437"/>
      <c r="S95" s="437"/>
      <c r="T95" s="437"/>
      <c r="U95" s="437"/>
      <c r="V95" s="437"/>
      <c r="W95" s="5"/>
      <c r="X95" s="5"/>
      <c r="Y95" s="5"/>
      <c r="Z95" s="5"/>
      <c r="AA95" s="5"/>
      <c r="AD95" s="5"/>
      <c r="AE95" s="5"/>
      <c r="AF95" s="5"/>
      <c r="AG95" s="5"/>
      <c r="AH95" s="5"/>
    </row>
    <row r="96" spans="1:34" ht="13.5" thickBot="1">
      <c r="A96" s="368" t="s">
        <v>492</v>
      </c>
      <c r="B96" s="369">
        <v>850</v>
      </c>
      <c r="C96" s="369">
        <v>1350</v>
      </c>
      <c r="D96" s="369">
        <v>2184</v>
      </c>
      <c r="E96" s="370">
        <f>('Cost-Effectiveness Level'!$I$3*B96)+('Cost-Effectiveness Level'!$J$3*C96)+('Cost-Effectiveness Level'!$K$3*D96)</f>
        <v>1600.28</v>
      </c>
      <c r="G96"/>
      <c r="H96"/>
      <c r="I96"/>
      <c r="J96"/>
      <c r="K96"/>
      <c r="L96"/>
      <c r="M96"/>
      <c r="O96"/>
      <c r="P96" s="379"/>
      <c r="Q96" s="437"/>
      <c r="R96" s="437"/>
      <c r="S96" s="437"/>
      <c r="T96" s="437"/>
      <c r="U96" s="437"/>
      <c r="V96" s="437"/>
      <c r="W96" s="5"/>
      <c r="X96" s="5"/>
      <c r="Y96" s="5"/>
      <c r="Z96" s="5"/>
      <c r="AA96" s="5"/>
      <c r="AD96" s="5"/>
      <c r="AE96" s="5"/>
      <c r="AF96" s="5"/>
      <c r="AG96" s="5"/>
      <c r="AH96" s="5"/>
    </row>
    <row r="97" spans="1:34" ht="12.75">
      <c r="A97" s="333" t="s">
        <v>233</v>
      </c>
      <c r="B97" s="329">
        <f aca="true" t="shared" si="39" ref="B97:B104">VLOOKUP(A97,$A$6:$H$36,6,FALSE)</f>
        <v>76.14</v>
      </c>
      <c r="C97" s="329">
        <f aca="true" t="shared" si="40" ref="C97:C104">VLOOKUP(A97,$A$6:$H$36,7,FALSE)</f>
        <v>95.034</v>
      </c>
      <c r="D97" s="329">
        <f aca="true" t="shared" si="41" ref="D97:D104">VLOOKUP(A97,$A$6:$H$36,8,FALSE)</f>
        <v>142.974</v>
      </c>
      <c r="E97" s="410"/>
      <c r="G97"/>
      <c r="H97"/>
      <c r="I97"/>
      <c r="J97"/>
      <c r="K97"/>
      <c r="L97"/>
      <c r="M97"/>
      <c r="O97"/>
      <c r="Q97" s="437"/>
      <c r="R97" s="437"/>
      <c r="S97" s="437"/>
      <c r="T97" s="437"/>
      <c r="U97" s="437"/>
      <c r="V97" s="437"/>
      <c r="W97" s="5"/>
      <c r="X97" s="5"/>
      <c r="Y97" s="5"/>
      <c r="Z97" s="5"/>
      <c r="AA97" s="5"/>
      <c r="AD97" s="5"/>
      <c r="AE97" s="5"/>
      <c r="AF97" s="5"/>
      <c r="AG97" s="5"/>
      <c r="AH97" s="5"/>
    </row>
    <row r="98" spans="1:34" ht="12.75">
      <c r="A98" s="333" t="s">
        <v>177</v>
      </c>
      <c r="B98" s="329">
        <f t="shared" si="39"/>
        <v>33.15</v>
      </c>
      <c r="C98" s="329">
        <f t="shared" si="40"/>
        <v>36.855</v>
      </c>
      <c r="D98" s="329">
        <f t="shared" si="41"/>
        <v>28.392</v>
      </c>
      <c r="E98" s="410"/>
      <c r="G98"/>
      <c r="H98"/>
      <c r="I98"/>
      <c r="J98"/>
      <c r="K98"/>
      <c r="L98"/>
      <c r="M98"/>
      <c r="O98"/>
      <c r="Q98" s="437"/>
      <c r="R98" s="437"/>
      <c r="S98" s="437"/>
      <c r="T98" s="437"/>
      <c r="U98" s="437"/>
      <c r="V98" s="437"/>
      <c r="W98" s="5"/>
      <c r="X98" s="5"/>
      <c r="Y98" s="5"/>
      <c r="Z98" s="5"/>
      <c r="AA98" s="5"/>
      <c r="AD98" s="5"/>
      <c r="AE98" s="5"/>
      <c r="AF98" s="5"/>
      <c r="AG98" s="5"/>
      <c r="AH98" s="5"/>
    </row>
    <row r="99" spans="1:34" ht="12.75">
      <c r="A99" s="417" t="s">
        <v>485</v>
      </c>
      <c r="B99" s="329">
        <f t="shared" si="39"/>
        <v>0</v>
      </c>
      <c r="C99" s="329">
        <f t="shared" si="40"/>
        <v>12.15</v>
      </c>
      <c r="D99" s="329">
        <f t="shared" si="41"/>
        <v>0</v>
      </c>
      <c r="E99" s="410"/>
      <c r="G99"/>
      <c r="H99"/>
      <c r="I99"/>
      <c r="J99"/>
      <c r="K99"/>
      <c r="L99"/>
      <c r="M99"/>
      <c r="O99"/>
      <c r="Q99" s="437"/>
      <c r="R99" s="437"/>
      <c r="S99" s="379"/>
      <c r="T99" s="437"/>
      <c r="U99" s="437"/>
      <c r="V99" s="437"/>
      <c r="W99" s="379"/>
      <c r="X99" s="379"/>
      <c r="Y99" s="378"/>
      <c r="Z99" s="379"/>
      <c r="AA99" s="379"/>
      <c r="AD99" s="5"/>
      <c r="AE99" s="5"/>
      <c r="AF99" s="5"/>
      <c r="AG99" s="5"/>
      <c r="AH99" s="5"/>
    </row>
    <row r="100" spans="1:34" ht="13.5" thickBot="1">
      <c r="A100" s="333" t="s">
        <v>176</v>
      </c>
      <c r="B100" s="329">
        <f t="shared" si="39"/>
        <v>24.650000000000002</v>
      </c>
      <c r="C100" s="329">
        <f t="shared" si="40"/>
        <v>39.15</v>
      </c>
      <c r="D100" s="329">
        <f t="shared" si="41"/>
        <v>21.112000000000002</v>
      </c>
      <c r="E100" s="410"/>
      <c r="G100"/>
      <c r="H100"/>
      <c r="I100"/>
      <c r="J100"/>
      <c r="K100"/>
      <c r="L100"/>
      <c r="M100"/>
      <c r="O100" s="379"/>
      <c r="Q100" s="437"/>
      <c r="R100" s="437"/>
      <c r="S100" s="379"/>
      <c r="T100" s="437"/>
      <c r="U100" s="437"/>
      <c r="V100" s="437"/>
      <c r="W100" s="379"/>
      <c r="X100" s="379"/>
      <c r="Y100" s="378"/>
      <c r="Z100" s="379"/>
      <c r="AA100" s="379"/>
      <c r="AD100" s="376"/>
      <c r="AE100" s="379"/>
      <c r="AF100" s="390"/>
      <c r="AG100" s="379"/>
      <c r="AH100" s="379"/>
    </row>
    <row r="101" spans="1:34" ht="13.5" thickBot="1">
      <c r="A101" s="636" t="str">
        <f>A28</f>
        <v>CLASS 35 PRIME WINDOW (Energy Star)</v>
      </c>
      <c r="B101" s="420">
        <f t="shared" si="39"/>
        <v>31.96</v>
      </c>
      <c r="C101" s="420">
        <f t="shared" si="40"/>
        <v>50.660000000000004</v>
      </c>
      <c r="D101" s="420">
        <f t="shared" si="41"/>
        <v>107.10000000000001</v>
      </c>
      <c r="E101" s="370">
        <f>('Cost-Effectiveness Level'!$I$3*B101)+('Cost-Effectiveness Level'!$J$3*C101)+('Cost-Effectiveness Level'!$K$3*D101)</f>
        <v>70.6248</v>
      </c>
      <c r="G101"/>
      <c r="H101"/>
      <c r="I101"/>
      <c r="J101"/>
      <c r="K101"/>
      <c r="L101"/>
      <c r="M101"/>
      <c r="O101" s="379"/>
      <c r="Q101" s="437"/>
      <c r="R101" s="437"/>
      <c r="S101" s="379"/>
      <c r="T101" s="379"/>
      <c r="U101" s="438"/>
      <c r="V101" s="377"/>
      <c r="W101" s="379"/>
      <c r="X101" s="379"/>
      <c r="Y101" s="378"/>
      <c r="Z101" s="379"/>
      <c r="AA101" s="379"/>
      <c r="AD101" s="376"/>
      <c r="AE101" s="379"/>
      <c r="AF101" s="390"/>
      <c r="AG101" s="379"/>
      <c r="AH101" s="379"/>
    </row>
    <row r="102" spans="1:34" ht="12.75">
      <c r="A102" s="450" t="s">
        <v>205</v>
      </c>
      <c r="B102" s="329">
        <f t="shared" si="39"/>
        <v>18.799999999999997</v>
      </c>
      <c r="C102" s="329">
        <f t="shared" si="40"/>
        <v>18.799999999999997</v>
      </c>
      <c r="D102" s="329">
        <f t="shared" si="41"/>
        <v>18.799999999999997</v>
      </c>
      <c r="E102" s="410"/>
      <c r="G102"/>
      <c r="H102"/>
      <c r="I102"/>
      <c r="J102"/>
      <c r="K102"/>
      <c r="L102"/>
      <c r="M102"/>
      <c r="O102" s="379"/>
      <c r="Q102" s="437"/>
      <c r="R102" s="437"/>
      <c r="T102" s="379"/>
      <c r="U102" s="438"/>
      <c r="V102" s="377"/>
      <c r="W102" s="379"/>
      <c r="X102" s="379"/>
      <c r="Y102" s="378"/>
      <c r="Z102" s="379"/>
      <c r="AA102" s="379"/>
      <c r="AD102" s="376"/>
      <c r="AE102" s="379"/>
      <c r="AF102" s="390"/>
      <c r="AG102" s="379"/>
      <c r="AH102" s="379"/>
    </row>
    <row r="103" spans="1:34" ht="12.75">
      <c r="A103" s="422" t="s">
        <v>491</v>
      </c>
      <c r="B103" s="329">
        <f t="shared" si="39"/>
        <v>55.08</v>
      </c>
      <c r="C103" s="329">
        <f t="shared" si="40"/>
        <v>87.47999999999999</v>
      </c>
      <c r="D103" s="329">
        <f t="shared" si="41"/>
        <v>141.5232</v>
      </c>
      <c r="E103" s="410"/>
      <c r="G103"/>
      <c r="H103"/>
      <c r="I103"/>
      <c r="J103"/>
      <c r="K103"/>
      <c r="L103"/>
      <c r="M103"/>
      <c r="O103" s="379"/>
      <c r="Q103" s="437"/>
      <c r="R103" s="437"/>
      <c r="T103" s="379"/>
      <c r="U103" s="438"/>
      <c r="V103" s="377"/>
      <c r="W103" s="379"/>
      <c r="X103" s="379"/>
      <c r="Y103" s="378"/>
      <c r="Z103" s="379"/>
      <c r="AA103" s="379"/>
      <c r="AD103" s="376"/>
      <c r="AE103" s="379"/>
      <c r="AF103" s="390"/>
      <c r="AG103" s="379"/>
      <c r="AH103" s="379"/>
    </row>
    <row r="104" spans="1:34" ht="12.75">
      <c r="A104" s="417" t="s">
        <v>185</v>
      </c>
      <c r="B104" s="329">
        <f t="shared" si="39"/>
        <v>0</v>
      </c>
      <c r="C104" s="329">
        <f t="shared" si="40"/>
        <v>0</v>
      </c>
      <c r="D104" s="329">
        <f t="shared" si="41"/>
        <v>94.10399999999998</v>
      </c>
      <c r="E104" s="410"/>
      <c r="I104" s="5"/>
      <c r="J104" s="5"/>
      <c r="K104" s="5"/>
      <c r="L104" s="5"/>
      <c r="M104" s="5"/>
      <c r="O104" s="379"/>
      <c r="Q104" s="437"/>
      <c r="R104" s="437"/>
      <c r="Y104" s="377"/>
      <c r="AD104" s="376"/>
      <c r="AE104" s="379"/>
      <c r="AF104" s="390"/>
      <c r="AG104" s="379"/>
      <c r="AH104" s="379"/>
    </row>
    <row r="105" spans="1:34" ht="13.5" thickBot="1">
      <c r="A105" s="593" t="s">
        <v>234</v>
      </c>
      <c r="B105" s="418">
        <f>SUM(B97:B104)</f>
        <v>239.77999999999997</v>
      </c>
      <c r="C105" s="418">
        <f>SUM(C97:C104)</f>
        <v>340.129</v>
      </c>
      <c r="D105" s="418">
        <f>SUM(D97:D104)</f>
        <v>554.0052000000001</v>
      </c>
      <c r="E105" s="443">
        <f>('Cost-Effectiveness Level'!$I$3*B105)+('Cost-Effectiveness Level'!$J$3*C105)+('Cost-Effectiveness Level'!$K$3*D105)</f>
        <v>409.887204</v>
      </c>
      <c r="G105" s="379"/>
      <c r="I105" s="5"/>
      <c r="J105" s="5"/>
      <c r="K105" s="5"/>
      <c r="L105" s="5"/>
      <c r="M105" s="5"/>
      <c r="O105" s="379"/>
      <c r="Q105" s="437"/>
      <c r="R105" s="437"/>
      <c r="AD105" s="376"/>
      <c r="AE105" s="379"/>
      <c r="AF105" s="390"/>
      <c r="AG105" s="379"/>
      <c r="AH105" s="379"/>
    </row>
    <row r="106" spans="1:18" ht="12.75">
      <c r="A106" s="444" t="s">
        <v>235</v>
      </c>
      <c r="B106" s="445">
        <f ca="1">IF(ISNA(INDEX($AU$5:$AV$73,MATCH(B105,$AU$5:$AU$73,0),1)),TREND(OFFSET(INDEX($AU$5:$AV$73,MATCH(B105,$AU$5:$AU$73,-1),2),0,0,2,1),OFFSET(INDEX($AU$5:$AV$73,MATCH(B105,$AU$5:$AU$73,-1),1),0,0,2,1),B105),INDEX($AU$5:$AV$73,MATCH(B105,$AU$5:$AU$73,0),2))</f>
        <v>4209.98841488426</v>
      </c>
      <c r="C106" s="445">
        <f ca="1">IF(ISNA(INDEX($BC$5:$BD$73,MATCH(C105,$BC$5:$BC$73,0),1)),TREND(OFFSET(INDEX($BC$5:$BD$73,MATCH(C105,$BC$5:$BC$73,-1),2),0,0,2,1),OFFSET(INDEX($BC$5:$BD$73,MATCH(C105,$BC$5:$BC$73,-1),1),0,0,2,1),C105),INDEX($BC$5:$BD$73,MATCH(C105,$BC$5:$BC$73,0),2))</f>
        <v>6946.747809844725</v>
      </c>
      <c r="D106" s="445">
        <f ca="1">IF(ISNA(INDEX($BK$5:$BL$73,MATCH(D105,$BK$5:$BK$73,0),1)),TREND(OFFSET(INDEX($BK$5:$BL$73,MATCH(D105,$BK$5:$BK$73,-1),2),0,0,2,1),OFFSET(INDEX($BK$5:$BL$73,MATCH(D105,$BK$5:$BK$73,-1),1),0,0,2,1),D105),INDEX($BK$5:$BL$73,MATCH(D105,$BK$5:$BK$73,0),2))</f>
        <v>11787.777637767424</v>
      </c>
      <c r="E106" s="446">
        <f>('Cost-Effectiveness Level'!$I$3*B106)+('Cost-Effectiveness Level'!$J$3*C106)+('Cost-Effectiveness Level'!$K$3*D106)</f>
        <v>8432.628458580166</v>
      </c>
      <c r="F106"/>
      <c r="I106" s="5"/>
      <c r="J106" s="5"/>
      <c r="K106" s="5"/>
      <c r="L106"/>
      <c r="M106"/>
      <c r="O106" s="379"/>
      <c r="Q106" s="437"/>
      <c r="R106" s="379"/>
    </row>
    <row r="107" spans="1:18" ht="13.5" thickBot="1">
      <c r="A107" s="447" t="s">
        <v>236</v>
      </c>
      <c r="B107" s="448">
        <f>B106/'Cost-Effectiveness Level'!$I$2</f>
        <v>4.952927546922659</v>
      </c>
      <c r="C107" s="448">
        <f>C106/'Cost-Effectiveness Level'!$J$2</f>
        <v>5.1457391184035</v>
      </c>
      <c r="D107" s="448">
        <f>D106/'Cost-Effectiveness Level'!$K$2</f>
        <v>5.397334083226842</v>
      </c>
      <c r="E107" s="449">
        <f>E106/'Cost-Effectiveness Level'!$L$2</f>
        <v>5.269470629252485</v>
      </c>
      <c r="F107"/>
      <c r="G107"/>
      <c r="H107"/>
      <c r="I107"/>
      <c r="J107"/>
      <c r="K107"/>
      <c r="L107"/>
      <c r="M107"/>
      <c r="N107"/>
      <c r="O107" s="379"/>
      <c r="Q107" s="437"/>
      <c r="R107" s="379"/>
    </row>
    <row r="108" spans="7:18" ht="12.75">
      <c r="G108"/>
      <c r="H108"/>
      <c r="I108"/>
      <c r="J108"/>
      <c r="K108"/>
      <c r="L108"/>
      <c r="M108"/>
      <c r="N108"/>
      <c r="O108" s="379"/>
      <c r="Q108" s="437"/>
      <c r="R108" s="379"/>
    </row>
    <row r="109" spans="1:17" ht="13.5" thickBot="1">
      <c r="A109"/>
      <c r="B109"/>
      <c r="C109"/>
      <c r="D109"/>
      <c r="E109"/>
      <c r="G109"/>
      <c r="H109"/>
      <c r="I109"/>
      <c r="J109"/>
      <c r="K109"/>
      <c r="L109"/>
      <c r="M109"/>
      <c r="N109"/>
      <c r="O109" s="437"/>
      <c r="Q109" s="437"/>
    </row>
    <row r="110" spans="1:17" ht="12.75">
      <c r="A110" s="624" t="s">
        <v>550</v>
      </c>
      <c r="B110" s="586">
        <f>'Cost-Effectiveness Level'!B24</f>
        <v>239.77999999999997</v>
      </c>
      <c r="C110" s="586">
        <f>'Cost-Effectiveness Level'!C24</f>
        <v>340.1289999999999</v>
      </c>
      <c r="D110" s="586">
        <f>'Cost-Effectiveness Level'!D24</f>
        <v>554.0052</v>
      </c>
      <c r="E110" s="587">
        <f>('Cost-Effectiveness Level'!$I$3*B110)+('Cost-Effectiveness Level'!$J$3*C110)+('Cost-Effectiveness Level'!$K$3*D110)</f>
        <v>409.88720399999994</v>
      </c>
      <c r="G110"/>
      <c r="H110"/>
      <c r="I110"/>
      <c r="J110"/>
      <c r="K110"/>
      <c r="L110"/>
      <c r="M110"/>
      <c r="N110"/>
      <c r="O110" s="437"/>
      <c r="Q110" s="437"/>
    </row>
    <row r="111" spans="1:17" ht="13.5" thickBot="1">
      <c r="A111" s="625" t="s">
        <v>551</v>
      </c>
      <c r="B111" s="588">
        <f>M64</f>
        <v>33.99953978787411</v>
      </c>
      <c r="C111" s="588">
        <f>N64</f>
        <v>48.98978405767484</v>
      </c>
      <c r="D111" s="588">
        <f>O64</f>
        <v>59.40385608829456</v>
      </c>
      <c r="E111" s="626">
        <f>P64</f>
        <v>50.36564545657498</v>
      </c>
      <c r="G111"/>
      <c r="H111"/>
      <c r="I111"/>
      <c r="J111"/>
      <c r="K111"/>
      <c r="L111"/>
      <c r="M111"/>
      <c r="N111"/>
      <c r="O111" s="379"/>
      <c r="Q111" s="437"/>
    </row>
    <row r="112" spans="1:17" ht="13.5" thickBot="1">
      <c r="A112" s="638" t="s">
        <v>552</v>
      </c>
      <c r="B112" s="639">
        <f>B110+B111</f>
        <v>273.7795397878741</v>
      </c>
      <c r="C112" s="639">
        <f>C110+C111</f>
        <v>389.11878405767476</v>
      </c>
      <c r="D112" s="639">
        <f>D110+D111</f>
        <v>613.4090560882945</v>
      </c>
      <c r="E112" s="640">
        <f>E110+E111</f>
        <v>460.25284945657495</v>
      </c>
      <c r="G112"/>
      <c r="H112"/>
      <c r="I112"/>
      <c r="J112"/>
      <c r="K112"/>
      <c r="L112"/>
      <c r="M112"/>
      <c r="N112"/>
      <c r="O112" s="379"/>
      <c r="Q112" s="437"/>
    </row>
    <row r="113" spans="1:17" ht="13.5" thickBot="1">
      <c r="A113"/>
      <c r="B113"/>
      <c r="C113"/>
      <c r="D113"/>
      <c r="E113"/>
      <c r="G113"/>
      <c r="H113"/>
      <c r="I113"/>
      <c r="J113"/>
      <c r="K113"/>
      <c r="L113"/>
      <c r="M113"/>
      <c r="N113"/>
      <c r="O113" s="379"/>
      <c r="Q113" s="437"/>
    </row>
    <row r="114" spans="1:31" ht="13.5" thickBot="1">
      <c r="A114" s="737" t="s">
        <v>563</v>
      </c>
      <c r="B114" s="738"/>
      <c r="C114" s="738"/>
      <c r="D114" s="739"/>
      <c r="E114" s="648" t="s">
        <v>237</v>
      </c>
      <c r="F114" s="647" t="s">
        <v>28</v>
      </c>
      <c r="G114"/>
      <c r="H114"/>
      <c r="I114"/>
      <c r="J114"/>
      <c r="K114"/>
      <c r="N114"/>
      <c r="O114" s="379"/>
      <c r="Q114" s="437"/>
      <c r="AD114" s="5"/>
      <c r="AE114" s="5"/>
    </row>
    <row r="115" spans="1:31" ht="13.5" thickBot="1">
      <c r="A115" s="649"/>
      <c r="B115" s="369">
        <v>850</v>
      </c>
      <c r="C115" s="369">
        <v>1350</v>
      </c>
      <c r="D115" s="369">
        <v>2184</v>
      </c>
      <c r="E115" s="370">
        <f>SUMPRODUCT('Cost-Effectiveness Level'!$I$3:$K$3,B115:D115)</f>
        <v>1600.28</v>
      </c>
      <c r="F115" s="647"/>
      <c r="G115"/>
      <c r="H115"/>
      <c r="I115"/>
      <c r="J115"/>
      <c r="K115"/>
      <c r="L115"/>
      <c r="N115" s="379"/>
      <c r="O115" s="379"/>
      <c r="Q115" s="379"/>
      <c r="V115" s="5"/>
      <c r="W115" s="5"/>
      <c r="X115" s="5"/>
      <c r="AD115" s="5"/>
      <c r="AE115" s="5"/>
    </row>
    <row r="116" spans="1:31" ht="12.75">
      <c r="A116" s="465" t="s">
        <v>172</v>
      </c>
      <c r="B116" s="591">
        <f aca="true" t="shared" si="42" ref="B116:B123">VLOOKUP($A116,$T$45:$V$56,3,0)</f>
        <v>732.6936963096837</v>
      </c>
      <c r="C116" s="591">
        <f>VLOOKUP($A116,$Z$45:$AB$59,3,0)+VLOOKUP(A$16,$Z$45:$AB$59,3,0)</f>
        <v>1163.6899882565563</v>
      </c>
      <c r="D116" s="591">
        <f aca="true" t="shared" si="43" ref="D116:D123">VLOOKUP($A116,$AF$45:$AH$58,3,0)</f>
        <v>627.5306010746467</v>
      </c>
      <c r="E116" s="670">
        <f>SUMPRODUCT('Cost-Effectiveness Level'!$I$3:$K$3,B116:D116)</f>
        <v>852.3037872507798</v>
      </c>
      <c r="F116" s="634">
        <f>B57</f>
        <v>0.05662447889271396</v>
      </c>
      <c r="G116"/>
      <c r="H116"/>
      <c r="I116"/>
      <c r="J116"/>
      <c r="K116"/>
      <c r="L116"/>
      <c r="N116" s="379"/>
      <c r="O116" s="379"/>
      <c r="Q116" s="379"/>
      <c r="V116" s="5"/>
      <c r="W116" s="5"/>
      <c r="X116" s="5"/>
      <c r="AD116" s="5"/>
      <c r="AE116" s="5"/>
    </row>
    <row r="117" spans="1:31" ht="12.75">
      <c r="A117" s="321" t="s">
        <v>177</v>
      </c>
      <c r="B117" s="590">
        <f t="shared" si="42"/>
        <v>280.8095966433878</v>
      </c>
      <c r="C117" s="590">
        <f>VLOOKUP($A117,$Z$45:$AB$59,3,0)+VLOOKUP(A$18,$Z$45:$AB$59,3,0)</f>
        <v>445.99171231596887</v>
      </c>
      <c r="D117" s="590">
        <f t="shared" si="43"/>
        <v>240.50516041927804</v>
      </c>
      <c r="E117" s="632">
        <f>SUMPRODUCT('Cost-Effectiveness Level'!$I$3:$K$3,B117:D117)</f>
        <v>326.6509373848425</v>
      </c>
      <c r="F117" s="634">
        <f>B58</f>
        <v>0.27965005436564294</v>
      </c>
      <c r="G117"/>
      <c r="H117"/>
      <c r="I117"/>
      <c r="J117"/>
      <c r="K117"/>
      <c r="L117"/>
      <c r="N117" s="379"/>
      <c r="O117" s="379"/>
      <c r="Q117" s="379"/>
      <c r="V117" s="5"/>
      <c r="W117" s="5"/>
      <c r="X117" s="5"/>
      <c r="AD117" s="5"/>
      <c r="AE117" s="5"/>
    </row>
    <row r="118" spans="1:30" ht="12.75">
      <c r="A118" s="397" t="s">
        <v>185</v>
      </c>
      <c r="B118" s="590"/>
      <c r="C118" s="590"/>
      <c r="D118" s="590">
        <f t="shared" si="43"/>
        <v>406.08</v>
      </c>
      <c r="E118" s="632">
        <f>SUMPRODUCT('Cost-Effectiveness Level'!$I$3:$K$3,B118:D118)</f>
        <v>170.5536</v>
      </c>
      <c r="F118" s="633">
        <v>0</v>
      </c>
      <c r="G118"/>
      <c r="H118"/>
      <c r="I118"/>
      <c r="J118"/>
      <c r="K118"/>
      <c r="L118"/>
      <c r="N118" s="379"/>
      <c r="O118" s="379"/>
      <c r="U118" s="5"/>
      <c r="V118" s="5"/>
      <c r="W118" s="5"/>
      <c r="AC118" s="5"/>
      <c r="AD118" s="5"/>
    </row>
    <row r="119" spans="1:30" ht="12.75">
      <c r="A119" s="397" t="s">
        <v>488</v>
      </c>
      <c r="B119" s="590">
        <f t="shared" si="42"/>
        <v>1505.1622909598884</v>
      </c>
      <c r="C119" s="590">
        <f aca="true" t="shared" si="44" ref="C119:C124">VLOOKUP($A119,$Z$45:$AB$59,3,0)</f>
        <v>2385.8423548193973</v>
      </c>
      <c r="D119" s="590">
        <f t="shared" si="43"/>
        <v>5043.894911195371</v>
      </c>
      <c r="E119" s="632">
        <f>SUMPRODUCT('Cost-Effectiveness Level'!$I$3:$K$3,B119:D119)</f>
        <v>3326.088415725404</v>
      </c>
      <c r="F119" s="634">
        <f>B63</f>
        <v>0.20624694795404877</v>
      </c>
      <c r="G119"/>
      <c r="H119"/>
      <c r="I119"/>
      <c r="J119"/>
      <c r="K119"/>
      <c r="L119"/>
      <c r="N119" s="379"/>
      <c r="O119" s="379"/>
      <c r="U119" s="5"/>
      <c r="V119" s="5"/>
      <c r="W119" s="5"/>
      <c r="AC119" s="5"/>
      <c r="AD119" s="5"/>
    </row>
    <row r="120" spans="1:30" ht="12.75">
      <c r="A120" s="436" t="s">
        <v>180</v>
      </c>
      <c r="B120" s="590">
        <f t="shared" si="42"/>
        <v>600.46875</v>
      </c>
      <c r="C120" s="590">
        <f t="shared" si="44"/>
        <v>600.46875</v>
      </c>
      <c r="D120" s="590">
        <f t="shared" si="43"/>
        <v>600.46875</v>
      </c>
      <c r="E120" s="632">
        <f>SUMPRODUCT('Cost-Effectiveness Level'!$I$3:$K$3,B120:D120)</f>
        <v>600.46875</v>
      </c>
      <c r="F120" s="633">
        <v>0</v>
      </c>
      <c r="G120"/>
      <c r="H120"/>
      <c r="I120"/>
      <c r="J120"/>
      <c r="K120"/>
      <c r="L120"/>
      <c r="N120" s="379"/>
      <c r="O120" s="379"/>
      <c r="U120" s="5"/>
      <c r="V120" s="5"/>
      <c r="W120" s="5"/>
      <c r="AC120" s="5"/>
      <c r="AD120" s="5"/>
    </row>
    <row r="121" spans="1:30" ht="12.75">
      <c r="A121" s="397" t="s">
        <v>174</v>
      </c>
      <c r="B121" s="590">
        <f t="shared" si="42"/>
        <v>168.8311330778076</v>
      </c>
      <c r="C121" s="590">
        <f t="shared" si="44"/>
        <v>268.14356430004733</v>
      </c>
      <c r="D121" s="590">
        <f t="shared" si="43"/>
        <v>144.59889985958108</v>
      </c>
      <c r="E121" s="632">
        <f>SUMPRODUCT('Cost-Effectiveness Level'!$I$3:$K$3,B121:D121)</f>
        <v>196.39231899060354</v>
      </c>
      <c r="F121" s="635">
        <f>B59</f>
        <v>0.21133978395883135</v>
      </c>
      <c r="G121"/>
      <c r="H121"/>
      <c r="I121"/>
      <c r="J121"/>
      <c r="K121"/>
      <c r="L121"/>
      <c r="N121" s="379"/>
      <c r="O121" s="379"/>
      <c r="U121" s="5"/>
      <c r="V121" s="5"/>
      <c r="W121" s="5"/>
      <c r="AC121" s="5"/>
      <c r="AD121" s="5"/>
    </row>
    <row r="122" spans="1:30" ht="12.75">
      <c r="A122" s="397" t="s">
        <v>176</v>
      </c>
      <c r="B122" s="590">
        <f t="shared" si="42"/>
        <v>212.5</v>
      </c>
      <c r="C122" s="590">
        <f t="shared" si="44"/>
        <v>337.5</v>
      </c>
      <c r="D122" s="590">
        <f t="shared" si="43"/>
        <v>182</v>
      </c>
      <c r="E122" s="632">
        <f>SUMPRODUCT('Cost-Effectiveness Level'!$I$3:$K$3,B122:D122)</f>
        <v>247.19</v>
      </c>
      <c r="F122" s="635">
        <f>B60</f>
        <v>0.05567381247519047</v>
      </c>
      <c r="G122"/>
      <c r="H122"/>
      <c r="I122"/>
      <c r="J122"/>
      <c r="K122"/>
      <c r="L122"/>
      <c r="M122" s="5"/>
      <c r="N122" s="379"/>
      <c r="O122" s="379"/>
      <c r="U122" s="5"/>
      <c r="V122" s="5"/>
      <c r="W122" s="5"/>
      <c r="AC122" s="5"/>
      <c r="AD122" s="5"/>
    </row>
    <row r="123" spans="1:30" ht="12.75">
      <c r="A123" s="397" t="s">
        <v>490</v>
      </c>
      <c r="B123" s="590">
        <f t="shared" si="42"/>
        <v>425</v>
      </c>
      <c r="C123" s="590">
        <f t="shared" si="44"/>
        <v>675</v>
      </c>
      <c r="D123" s="590">
        <f t="shared" si="43"/>
        <v>1092</v>
      </c>
      <c r="E123" s="632">
        <f>SUMPRODUCT('Cost-Effectiveness Level'!$I$3:$K$3,B123:D123)</f>
        <v>800.14</v>
      </c>
      <c r="F123" s="635">
        <f>B62</f>
        <v>0.023378222371556377</v>
      </c>
      <c r="G123"/>
      <c r="H123"/>
      <c r="I123"/>
      <c r="J123"/>
      <c r="K123"/>
      <c r="L123"/>
      <c r="M123" s="437"/>
      <c r="N123" s="379"/>
      <c r="O123" s="379"/>
      <c r="U123" s="5"/>
      <c r="V123" s="5"/>
      <c r="W123" s="5"/>
      <c r="AC123" s="5"/>
      <c r="AD123" s="5"/>
    </row>
    <row r="124" spans="1:30" ht="12.75">
      <c r="A124" s="397" t="s">
        <v>233</v>
      </c>
      <c r="B124" s="590">
        <f>VLOOKUP($A124,$T$45:$V$56,3,0)</f>
        <v>654.118032745393</v>
      </c>
      <c r="C124" s="590">
        <f t="shared" si="44"/>
        <v>816.436211241472</v>
      </c>
      <c r="D124" s="590">
        <f>VLOOKUP($A124,$AF$45:$AH$58,3,0)</f>
        <v>1228.2883059330159</v>
      </c>
      <c r="E124" s="632">
        <f>SUMPRODUCT('Cost-Effectiveness Level'!$I$3:$K$3,B124:D124)</f>
        <v>956.9504553127047</v>
      </c>
      <c r="F124" s="635">
        <f>B61</f>
        <v>0.16708669998201614</v>
      </c>
      <c r="G124"/>
      <c r="H124"/>
      <c r="I124"/>
      <c r="J124"/>
      <c r="K124"/>
      <c r="L124"/>
      <c r="M124" s="437"/>
      <c r="N124" s="437"/>
      <c r="U124" s="5"/>
      <c r="V124" s="5"/>
      <c r="W124" s="5"/>
      <c r="AC124" s="5"/>
      <c r="AD124" s="5"/>
    </row>
    <row r="125" spans="1:30" ht="13.5" thickBot="1">
      <c r="A125" s="413" t="s">
        <v>559</v>
      </c>
      <c r="B125" s="592">
        <f>SUM(B116:B124)</f>
        <v>4579.58349973616</v>
      </c>
      <c r="C125" s="592">
        <f>SUM(C116:C124)</f>
        <v>6693.072580933443</v>
      </c>
      <c r="D125" s="592">
        <f>SUM(D116:D124)</f>
        <v>9565.366628481894</v>
      </c>
      <c r="E125" s="632">
        <f>SUMPRODUCT('Cost-Effectiveness Level'!$I$3:$K$3,B125:D125)</f>
        <v>7476.738264664336</v>
      </c>
      <c r="F125" s="635">
        <f>SUM(F116:F124)</f>
        <v>1</v>
      </c>
      <c r="G125"/>
      <c r="H125"/>
      <c r="I125"/>
      <c r="J125"/>
      <c r="K125"/>
      <c r="L125"/>
      <c r="M125" s="437"/>
      <c r="N125" s="437"/>
      <c r="U125" s="5"/>
      <c r="V125" s="5"/>
      <c r="W125" s="5"/>
      <c r="AC125" s="5"/>
      <c r="AD125" s="5"/>
    </row>
    <row r="126" spans="1:30" ht="13.5" thickBot="1">
      <c r="A126" s="630" t="s">
        <v>565</v>
      </c>
      <c r="B126" s="631">
        <f>SUMPRODUCT(B116:B124,$F116:$F124)</f>
        <v>597.193534734465</v>
      </c>
      <c r="C126" s="631">
        <f>SUMPRODUCT(C116:C124,$F116:$F124)</f>
        <v>910.3428967969423</v>
      </c>
      <c r="D126" s="631">
        <f>SUMPRODUCT(D116:D124,$F116:$F124)</f>
        <v>1414.5305983186365</v>
      </c>
      <c r="E126" s="631">
        <f>SUMPRODUCT(E116:E124,$F116:$F124)+E118</f>
        <v>1230.0254590235586</v>
      </c>
      <c r="F126" s="5"/>
      <c r="G126"/>
      <c r="H126"/>
      <c r="I126"/>
      <c r="J126"/>
      <c r="K126"/>
      <c r="L126"/>
      <c r="M126" s="437"/>
      <c r="N126" s="437"/>
      <c r="U126" s="5"/>
      <c r="V126" s="5"/>
      <c r="W126" s="5"/>
      <c r="AC126" s="5"/>
      <c r="AD126" s="5"/>
    </row>
    <row r="127" spans="6:30" ht="13.5" thickBot="1">
      <c r="F127" s="5"/>
      <c r="G127"/>
      <c r="H127"/>
      <c r="I127"/>
      <c r="J127"/>
      <c r="K127"/>
      <c r="L127"/>
      <c r="M127" s="437"/>
      <c r="N127" s="437"/>
      <c r="U127" s="5"/>
      <c r="V127" s="5"/>
      <c r="W127" s="5"/>
      <c r="AC127" s="5"/>
      <c r="AD127" s="5"/>
    </row>
    <row r="128" spans="1:30" ht="13.5" thickBot="1">
      <c r="A128" s="731" t="s">
        <v>569</v>
      </c>
      <c r="B128" s="732"/>
      <c r="C128" s="732"/>
      <c r="D128" s="733"/>
      <c r="F128" s="5"/>
      <c r="G128"/>
      <c r="H128"/>
      <c r="I128"/>
      <c r="J128"/>
      <c r="K128"/>
      <c r="L128"/>
      <c r="M128" s="437"/>
      <c r="N128" s="437"/>
      <c r="U128" s="5"/>
      <c r="V128" s="5"/>
      <c r="W128" s="5"/>
      <c r="AC128" s="5"/>
      <c r="AD128" s="5"/>
    </row>
    <row r="129" spans="1:30" ht="13.5" thickBot="1">
      <c r="A129" s="646"/>
      <c r="B129" s="369">
        <v>850</v>
      </c>
      <c r="C129" s="369">
        <v>1350</v>
      </c>
      <c r="D129" s="369">
        <v>2184</v>
      </c>
      <c r="E129" s="370">
        <f>('Cost-Effectiveness Level'!$I$3*B129)+('Cost-Effectiveness Level'!$J$3*C129)+('Cost-Effectiveness Level'!$K$3*D129)</f>
        <v>1600.28</v>
      </c>
      <c r="F129" s="647" t="s">
        <v>28</v>
      </c>
      <c r="G129"/>
      <c r="H129"/>
      <c r="I129"/>
      <c r="J129"/>
      <c r="K129"/>
      <c r="L129"/>
      <c r="M129" s="437"/>
      <c r="N129" s="437"/>
      <c r="U129" s="5"/>
      <c r="V129" s="5"/>
      <c r="W129" s="5"/>
      <c r="AC129" s="5"/>
      <c r="AD129" s="5"/>
    </row>
    <row r="130" spans="1:30" ht="12.75">
      <c r="A130" s="656" t="s">
        <v>172</v>
      </c>
      <c r="B130" s="657">
        <v>3150.737572530861</v>
      </c>
      <c r="C130" s="657">
        <v>5464.02590973585</v>
      </c>
      <c r="D130" s="657">
        <v>2694.36950707086</v>
      </c>
      <c r="E130" s="658">
        <f>('Cost-Effectiveness Level'!$I$3*B130)+('Cost-Effectiveness Level'!$J$3*C130)+('Cost-Effectiveness Level'!$K$3*D130)</f>
        <v>3838.1125531755565</v>
      </c>
      <c r="F130" s="653">
        <f>F116</f>
        <v>0.05662447889271396</v>
      </c>
      <c r="G130"/>
      <c r="H130"/>
      <c r="I130"/>
      <c r="J130"/>
      <c r="K130"/>
      <c r="L130"/>
      <c r="M130" s="437"/>
      <c r="N130" s="437"/>
      <c r="U130" s="5"/>
      <c r="V130" s="5"/>
      <c r="W130" s="5"/>
      <c r="AC130" s="5"/>
      <c r="AD130" s="5"/>
    </row>
    <row r="131" spans="1:30" ht="12.75">
      <c r="A131" s="321" t="s">
        <v>177</v>
      </c>
      <c r="B131" s="650">
        <v>603.5527981248288</v>
      </c>
      <c r="C131" s="650">
        <v>2613.9458973337096</v>
      </c>
      <c r="D131" s="650">
        <v>533.9147173325618</v>
      </c>
      <c r="E131" s="654">
        <f>('Cost-Effectiveness Level'!$I$3*B131)+('Cost-Effectiveness Level'!$J$3*C131)+('Cost-Effectiveness Level'!$K$3*D131)</f>
        <v>1338.2541818914515</v>
      </c>
      <c r="F131" s="653">
        <f aca="true" t="shared" si="45" ref="F131:F139">F117</f>
        <v>0.27965005436564294</v>
      </c>
      <c r="G131"/>
      <c r="I131" s="437"/>
      <c r="J131" s="437"/>
      <c r="K131" s="437"/>
      <c r="L131" s="437"/>
      <c r="M131" s="437"/>
      <c r="N131" s="437"/>
      <c r="U131" s="5"/>
      <c r="V131" s="5"/>
      <c r="W131" s="5"/>
      <c r="AC131" s="5"/>
      <c r="AD131" s="5"/>
    </row>
    <row r="132" spans="1:30" ht="12.75">
      <c r="A132" s="397" t="s">
        <v>185</v>
      </c>
      <c r="B132" s="650"/>
      <c r="C132" s="650"/>
      <c r="D132" s="650">
        <v>609.4755397304089</v>
      </c>
      <c r="E132" s="654">
        <f>('Cost-Effectiveness Level'!$I$3*B132)+('Cost-Effectiveness Level'!$J$3*C132)+('Cost-Effectiveness Level'!$K$3*D132)</f>
        <v>255.9797266867717</v>
      </c>
      <c r="F132" s="653">
        <f t="shared" si="45"/>
        <v>0</v>
      </c>
      <c r="H132" s="437"/>
      <c r="I132" s="437"/>
      <c r="J132" s="437"/>
      <c r="K132" s="437"/>
      <c r="L132" s="437"/>
      <c r="M132" s="437"/>
      <c r="N132" s="437"/>
      <c r="U132" s="5"/>
      <c r="V132" s="5"/>
      <c r="W132" s="5"/>
      <c r="AC132" s="5"/>
      <c r="AD132" s="5"/>
    </row>
    <row r="133" spans="1:30" ht="12.75">
      <c r="A133" s="397" t="s">
        <v>488</v>
      </c>
      <c r="B133" s="650">
        <v>2304.784919693048</v>
      </c>
      <c r="C133" s="650">
        <v>5701.754072651231</v>
      </c>
      <c r="D133" s="650">
        <v>8049.263962222634</v>
      </c>
      <c r="E133" s="654">
        <f>('Cost-Effectiveness Level'!$I$3*B133)+('Cost-Effectiveness Level'!$J$3*C133)+('Cost-Effectiveness Level'!$K$3*D133)</f>
        <v>6008.314395679583</v>
      </c>
      <c r="F133" s="653">
        <f t="shared" si="45"/>
        <v>0.20624694795404877</v>
      </c>
      <c r="H133" s="437"/>
      <c r="I133" s="437"/>
      <c r="J133" s="437"/>
      <c r="K133" s="437"/>
      <c r="L133" s="437"/>
      <c r="M133" s="437"/>
      <c r="N133" s="437"/>
      <c r="U133" s="5"/>
      <c r="V133" s="5"/>
      <c r="W133" s="5"/>
      <c r="AC133" s="5"/>
      <c r="AD133" s="5"/>
    </row>
    <row r="134" spans="1:30" ht="12.75">
      <c r="A134" s="436" t="s">
        <v>180</v>
      </c>
      <c r="B134" s="650">
        <v>333.9321476706664</v>
      </c>
      <c r="C134" s="650">
        <v>2275.382901774734</v>
      </c>
      <c r="D134" s="650">
        <v>352.97228244950384</v>
      </c>
      <c r="E134" s="654">
        <f>('Cost-Effectiveness Level'!$I$3*B134)+('Cost-Effectiveness Level'!$J$3*C134)+('Cost-Effectiveness Level'!$K$3*D134)</f>
        <v>1079.6802908373238</v>
      </c>
      <c r="F134" s="653">
        <f t="shared" si="45"/>
        <v>0</v>
      </c>
      <c r="H134" s="437"/>
      <c r="I134" s="437"/>
      <c r="J134" s="437"/>
      <c r="K134" s="437"/>
      <c r="L134" s="437"/>
      <c r="M134" s="437"/>
      <c r="N134" s="437"/>
      <c r="U134" s="5"/>
      <c r="V134" s="5"/>
      <c r="W134" s="5"/>
      <c r="AC134" s="5"/>
      <c r="AD134" s="5"/>
    </row>
    <row r="135" spans="1:30" ht="12.75">
      <c r="A135" s="397" t="s">
        <v>174</v>
      </c>
      <c r="B135" s="650">
        <v>408.3899102508376</v>
      </c>
      <c r="C135" s="650">
        <v>2584.370946072977</v>
      </c>
      <c r="D135" s="650">
        <v>356.9013743640098</v>
      </c>
      <c r="E135" s="654">
        <f>('Cost-Effectiveness Level'!$I$3*B135)+('Cost-Effectiveness Level'!$J$3*C135)+('Cost-Effectiveness Level'!$K$3*D135)</f>
        <v>1213.637518790783</v>
      </c>
      <c r="F135" s="653">
        <f t="shared" si="45"/>
        <v>0.21133978395883135</v>
      </c>
      <c r="H135" s="437"/>
      <c r="I135" s="437"/>
      <c r="J135" s="437"/>
      <c r="K135" s="437"/>
      <c r="L135" s="437"/>
      <c r="M135" s="437"/>
      <c r="N135" s="437"/>
      <c r="U135" s="5"/>
      <c r="V135" s="5"/>
      <c r="W135" s="5"/>
      <c r="AC135" s="5"/>
      <c r="AD135" s="5"/>
    </row>
    <row r="136" spans="1:30" ht="12.75">
      <c r="A136" s="397" t="s">
        <v>176</v>
      </c>
      <c r="B136" s="650">
        <v>341.54256521329717</v>
      </c>
      <c r="C136" s="650">
        <v>2478.4639002357544</v>
      </c>
      <c r="D136" s="650">
        <v>303.60671549987455</v>
      </c>
      <c r="E136" s="654">
        <f>('Cost-Effectiveness Level'!$I$3*B136)+('Cost-Effectiveness Level'!$J$3*C136)+('Cost-Effectiveness Level'!$K$3*D136)</f>
        <v>1137.6396156421936</v>
      </c>
      <c r="F136" s="653">
        <f t="shared" si="45"/>
        <v>0.05567381247519047</v>
      </c>
      <c r="H136" s="437"/>
      <c r="I136" s="437"/>
      <c r="J136" s="437"/>
      <c r="K136" s="437"/>
      <c r="L136" s="437"/>
      <c r="M136" s="437"/>
      <c r="N136" s="437"/>
      <c r="U136" s="5"/>
      <c r="V136" s="5"/>
      <c r="W136" s="5"/>
      <c r="AC136" s="5"/>
      <c r="AD136" s="5"/>
    </row>
    <row r="137" spans="1:30" ht="12.75">
      <c r="A137" s="397" t="s">
        <v>490</v>
      </c>
      <c r="B137" s="650">
        <v>378.94867858190537</v>
      </c>
      <c r="C137" s="650">
        <v>2302.8852517600817</v>
      </c>
      <c r="D137" s="650">
        <v>384.07936147084365</v>
      </c>
      <c r="E137" s="654">
        <f>('Cost-Effectiveness Level'!$I$3*B137)+('Cost-Effectiveness Level'!$J$3*C137)+('Cost-Effectiveness Level'!$K$3*D137)</f>
        <v>1112.1994632029664</v>
      </c>
      <c r="F137" s="653">
        <f t="shared" si="45"/>
        <v>0.023378222371556377</v>
      </c>
      <c r="H137" s="437"/>
      <c r="I137" s="437"/>
      <c r="J137" s="437"/>
      <c r="K137" s="437"/>
      <c r="L137" s="437"/>
      <c r="M137" s="437"/>
      <c r="N137" s="437"/>
      <c r="U137" s="5"/>
      <c r="V137" s="5"/>
      <c r="W137" s="5"/>
      <c r="AC137" s="5"/>
      <c r="AD137" s="5"/>
    </row>
    <row r="138" spans="1:30" ht="12.75">
      <c r="A138" s="397" t="s">
        <v>233</v>
      </c>
      <c r="B138" s="650">
        <v>1701.2242708170406</v>
      </c>
      <c r="C138" s="650">
        <v>4085.5941280182324</v>
      </c>
      <c r="D138" s="650">
        <v>3244.915079874605</v>
      </c>
      <c r="E138" s="654">
        <f>('Cost-Effectiveness Level'!$I$3*B138)+('Cost-Effectiveness Level'!$J$3*C138)+('Cost-Effectiveness Level'!$K$3*D138)</f>
        <v>3255.6349563576705</v>
      </c>
      <c r="F138" s="653">
        <f t="shared" si="45"/>
        <v>0.16708669998201614</v>
      </c>
      <c r="H138" s="379"/>
      <c r="I138" s="437"/>
      <c r="J138" s="437"/>
      <c r="K138" s="437"/>
      <c r="L138" s="437"/>
      <c r="M138" s="437"/>
      <c r="N138" s="437"/>
      <c r="U138" s="5"/>
      <c r="V138" s="5"/>
      <c r="W138" s="5"/>
      <c r="AC138" s="5"/>
      <c r="AD138" s="5"/>
    </row>
    <row r="139" spans="1:30" ht="13.5" thickBot="1">
      <c r="A139" s="413" t="s">
        <v>573</v>
      </c>
      <c r="B139" s="651">
        <f>SUM(B130:B138)</f>
        <v>9223.112862882484</v>
      </c>
      <c r="C139" s="651">
        <f>SUM(C130:C138)</f>
        <v>27506.42300758257</v>
      </c>
      <c r="D139" s="651">
        <f>SUM(D130:D138)</f>
        <v>16529.498540015302</v>
      </c>
      <c r="E139" s="655">
        <f>('Cost-Effectiveness Level'!$I$3*B139)+('Cost-Effectiveness Level'!$J$3*C139)+('Cost-Effectiveness Level'!$K$3*D139)</f>
        <v>19239.452702264298</v>
      </c>
      <c r="F139" s="653">
        <f t="shared" si="45"/>
        <v>1</v>
      </c>
      <c r="G139" s="5"/>
      <c r="H139" s="379"/>
      <c r="I139" s="437"/>
      <c r="J139" s="437"/>
      <c r="K139" s="437"/>
      <c r="L139" s="437"/>
      <c r="M139" s="437"/>
      <c r="N139" s="437"/>
      <c r="U139" s="5"/>
      <c r="V139" s="5"/>
      <c r="W139" s="5"/>
      <c r="AC139" s="5"/>
      <c r="AD139" s="5"/>
    </row>
    <row r="140" spans="1:30" ht="13.5" thickBot="1">
      <c r="A140" s="659" t="s">
        <v>574</v>
      </c>
      <c r="B140" s="652">
        <f>SUMPRODUCT(B130:B138,$F130:$F138)</f>
        <v>1220.9824093043928</v>
      </c>
      <c r="C140" s="652">
        <f>SUMPRODUCT(C130:C138,$F130:$F138)</f>
        <v>3637.008843211277</v>
      </c>
      <c r="D140" s="652">
        <f>SUMPRODUCT(D130:D138,$F130:$F138)</f>
        <v>2605.5043223324733</v>
      </c>
      <c r="E140" s="652">
        <f>SUMPRODUCT(E130:E138,$F130:$F138)</f>
        <v>2720.5716576608024</v>
      </c>
      <c r="F140" s="5"/>
      <c r="G140" s="5"/>
      <c r="H140" s="379"/>
      <c r="I140" s="379"/>
      <c r="J140" s="378"/>
      <c r="K140" s="379"/>
      <c r="L140" s="379"/>
      <c r="M140" s="379"/>
      <c r="N140" s="437"/>
      <c r="U140" s="5"/>
      <c r="V140" s="5"/>
      <c r="W140" s="5"/>
      <c r="AC140" s="5"/>
      <c r="AD140" s="5"/>
    </row>
    <row r="141" spans="2:30" ht="13.5" thickBot="1">
      <c r="B141" s="5"/>
      <c r="C141" s="5"/>
      <c r="D141" s="5"/>
      <c r="E141" s="5"/>
      <c r="F141" s="5"/>
      <c r="G141" s="5"/>
      <c r="H141" s="379"/>
      <c r="J141" s="378"/>
      <c r="N141" s="379"/>
      <c r="U141" s="5"/>
      <c r="V141" s="5"/>
      <c r="W141" s="5"/>
      <c r="AC141" s="5"/>
      <c r="AD141" s="5"/>
    </row>
    <row r="142" spans="1:30" ht="13.5" thickBot="1">
      <c r="A142" s="731" t="s">
        <v>570</v>
      </c>
      <c r="B142" s="732"/>
      <c r="C142" s="732"/>
      <c r="D142" s="733"/>
      <c r="F142" s="5"/>
      <c r="G142" s="5"/>
      <c r="H142" s="5"/>
      <c r="J142" s="378"/>
      <c r="U142" s="5"/>
      <c r="V142" s="5"/>
      <c r="W142" s="5"/>
      <c r="AC142" s="5"/>
      <c r="AD142" s="5"/>
    </row>
    <row r="143" spans="1:30" ht="13.5" thickBot="1">
      <c r="A143" s="646"/>
      <c r="B143" s="369">
        <v>850</v>
      </c>
      <c r="C143" s="369">
        <v>1350</v>
      </c>
      <c r="D143" s="369">
        <v>2184</v>
      </c>
      <c r="E143" s="370">
        <f>('Cost-Effectiveness Level'!$I$3*B143)+('Cost-Effectiveness Level'!$J$3*C143)+('Cost-Effectiveness Level'!$K$3*D143)</f>
        <v>1600.28</v>
      </c>
      <c r="F143" s="647" t="s">
        <v>28</v>
      </c>
      <c r="G143" s="5"/>
      <c r="J143" s="378"/>
      <c r="U143" s="5"/>
      <c r="V143" s="5"/>
      <c r="W143" s="5"/>
      <c r="AC143" s="5"/>
      <c r="AD143" s="5"/>
    </row>
    <row r="144" spans="1:30" ht="12.75">
      <c r="A144" s="656" t="s">
        <v>172</v>
      </c>
      <c r="B144" s="657">
        <v>3996.742772825486</v>
      </c>
      <c r="C144" s="657">
        <v>6893.754610072014</v>
      </c>
      <c r="D144" s="657">
        <v>3401.3067559643023</v>
      </c>
      <c r="E144" s="658">
        <f>('Cost-Effectiveness Level'!$I$3*B144)+('Cost-Effectiveness Level'!$J$3*C144)+('Cost-Effectiveness Level'!$K$3*D144)</f>
        <v>4847.52414389747</v>
      </c>
      <c r="F144" s="653">
        <f>F130</f>
        <v>0.05662447889271396</v>
      </c>
      <c r="G144" s="5"/>
      <c r="J144" s="378"/>
      <c r="U144" s="5"/>
      <c r="V144" s="5"/>
      <c r="W144" s="5"/>
      <c r="AC144" s="5"/>
      <c r="AD144" s="5"/>
    </row>
    <row r="145" spans="1:31" ht="12.75">
      <c r="A145" s="321" t="s">
        <v>177</v>
      </c>
      <c r="B145" s="650">
        <v>780.130249047701</v>
      </c>
      <c r="C145" s="650">
        <v>3299.8969464611764</v>
      </c>
      <c r="D145" s="650">
        <v>681.6297550566778</v>
      </c>
      <c r="E145" s="654">
        <f>('Cost-Effectiveness Level'!$I$3*B145)+('Cost-Effectiveness Level'!$J$3*C145)+('Cost-Effectiveness Level'!$K$3*D145)</f>
        <v>1696.271386588592</v>
      </c>
      <c r="F145" s="653">
        <f aca="true" t="shared" si="46" ref="F145:F153">F131</f>
        <v>0.27965005436564294</v>
      </c>
      <c r="G145" s="5"/>
      <c r="I145" s="437"/>
      <c r="K145" s="378"/>
      <c r="V145" s="5"/>
      <c r="W145" s="5"/>
      <c r="X145" s="5"/>
      <c r="AD145" s="5"/>
      <c r="AE145" s="5"/>
    </row>
    <row r="146" spans="1:31" ht="12.75">
      <c r="A146" s="397" t="s">
        <v>185</v>
      </c>
      <c r="B146" s="650"/>
      <c r="C146" s="650"/>
      <c r="D146" s="650">
        <v>791.6252644651904</v>
      </c>
      <c r="E146" s="654">
        <f>('Cost-Effectiveness Level'!$I$3*B146)+('Cost-Effectiveness Level'!$J$3*C146)+('Cost-Effectiveness Level'!$K$3*D146)</f>
        <v>332.48261107537996</v>
      </c>
      <c r="F146" s="653">
        <f t="shared" si="46"/>
        <v>0</v>
      </c>
      <c r="G146" s="5"/>
      <c r="I146" s="437"/>
      <c r="K146" s="378"/>
      <c r="V146" s="5"/>
      <c r="W146" s="5"/>
      <c r="X146" s="5"/>
      <c r="AD146" s="5"/>
      <c r="AE146" s="5"/>
    </row>
    <row r="147" spans="1:31" ht="12.75">
      <c r="A147" s="397" t="s">
        <v>488</v>
      </c>
      <c r="B147" s="650">
        <v>3028.5315394017343</v>
      </c>
      <c r="C147" s="650">
        <v>7312.293495489364</v>
      </c>
      <c r="D147" s="650">
        <v>10364.01697745015</v>
      </c>
      <c r="E147" s="654">
        <f>('Cost-Effectiveness Level'!$I$3*B147)+('Cost-Effectiveness Level'!$J$3*C147)+('Cost-Effectiveness Level'!$K$3*D147)</f>
        <v>7737.2649666953685</v>
      </c>
      <c r="F147" s="653">
        <f t="shared" si="46"/>
        <v>0.20624694795404877</v>
      </c>
      <c r="G147" s="5"/>
      <c r="H147" s="412"/>
      <c r="I147" s="412"/>
      <c r="K147" s="378"/>
      <c r="V147" s="5"/>
      <c r="W147" s="5"/>
      <c r="X147" s="5"/>
      <c r="AD147" s="5"/>
      <c r="AE147" s="5"/>
    </row>
    <row r="148" spans="1:31" ht="12.75">
      <c r="A148" s="436" t="s">
        <v>180</v>
      </c>
      <c r="B148" s="650">
        <v>450.68339525343254</v>
      </c>
      <c r="C148" s="650">
        <v>2885.2822656716526</v>
      </c>
      <c r="D148" s="650">
        <v>461.8731673014627</v>
      </c>
      <c r="E148" s="654">
        <f>('Cost-Effectiveness Level'!$I$3*B148)+('Cost-Effectiveness Level'!$J$3*C148)+('Cost-Effectiveness Level'!$K$3*D148)</f>
        <v>1380.5306702725288</v>
      </c>
      <c r="F148" s="653">
        <f t="shared" si="46"/>
        <v>0</v>
      </c>
      <c r="H148" s="412"/>
      <c r="I148" s="412"/>
      <c r="K148" s="378"/>
      <c r="V148" s="5"/>
      <c r="W148" s="5"/>
      <c r="X148" s="5"/>
      <c r="AD148" s="5"/>
      <c r="AE148" s="5"/>
    </row>
    <row r="149" spans="1:31" ht="12.75">
      <c r="A149" s="397" t="s">
        <v>174</v>
      </c>
      <c r="B149" s="650">
        <v>524.6204841407434</v>
      </c>
      <c r="C149" s="650">
        <v>3262.4758933113244</v>
      </c>
      <c r="D149" s="650">
        <v>455.32962654330913</v>
      </c>
      <c r="E149" s="654">
        <f>('Cost-Effectiveness Level'!$I$3*B149)+('Cost-Effectiveness Level'!$J$3*C149)+('Cost-Effectiveness Level'!$K$3*D149)</f>
        <v>1535.903379434642</v>
      </c>
      <c r="F149" s="653">
        <f t="shared" si="46"/>
        <v>0.21133978395883135</v>
      </c>
      <c r="G149" s="5"/>
      <c r="H149" s="412"/>
      <c r="I149" s="412"/>
      <c r="K149" s="378"/>
      <c r="V149" s="5"/>
      <c r="W149" s="5"/>
      <c r="X149" s="5"/>
      <c r="AD149" s="5"/>
      <c r="AE149" s="5"/>
    </row>
    <row r="150" spans="1:31" ht="12.75">
      <c r="A150" s="397" t="s">
        <v>176</v>
      </c>
      <c r="B150" s="650">
        <v>443.3667390484552</v>
      </c>
      <c r="C150" s="650">
        <v>3133.058053234381</v>
      </c>
      <c r="D150" s="650">
        <v>388.6699640195002</v>
      </c>
      <c r="E150" s="654">
        <f>('Cost-Effectiveness Level'!$I$3*B150)+('Cost-Effectiveness Level'!$J$3*C150)+('Cost-Effectiveness Level'!$K$3*D150)</f>
        <v>1442.476792926946</v>
      </c>
      <c r="F150" s="653">
        <f t="shared" si="46"/>
        <v>0.05567381247519047</v>
      </c>
      <c r="G150" s="5"/>
      <c r="H150" s="412"/>
      <c r="I150" s="412"/>
      <c r="V150" s="5"/>
      <c r="W150" s="5"/>
      <c r="X150" s="5"/>
      <c r="AD150" s="5"/>
      <c r="AE150" s="5"/>
    </row>
    <row r="151" spans="1:31" ht="12.75">
      <c r="A151" s="397" t="s">
        <v>490</v>
      </c>
      <c r="B151" s="650">
        <v>503.2350659244021</v>
      </c>
      <c r="C151" s="650">
        <v>2923.6681625072097</v>
      </c>
      <c r="D151" s="650">
        <v>504.55058832119175</v>
      </c>
      <c r="E151" s="654">
        <f>('Cost-Effectiveness Level'!$I$3*B151)+('Cost-Effectiveness Level'!$J$3*C151)+('Cost-Effectiveness Level'!$K$3*D151)</f>
        <v>1423.5521620325208</v>
      </c>
      <c r="F151" s="653">
        <f t="shared" si="46"/>
        <v>0.023378222371556377</v>
      </c>
      <c r="G151" s="5"/>
      <c r="H151" s="5"/>
      <c r="I151" s="412"/>
      <c r="J151" s="5"/>
      <c r="V151" s="5"/>
      <c r="W151" s="5"/>
      <c r="X151" s="5"/>
      <c r="AD151" s="5"/>
      <c r="AE151" s="5"/>
    </row>
    <row r="152" spans="1:31" ht="12.75">
      <c r="A152" s="397" t="s">
        <v>233</v>
      </c>
      <c r="B152" s="650">
        <v>2175.7036462827455</v>
      </c>
      <c r="C152" s="650">
        <v>5164.306784951234</v>
      </c>
      <c r="D152" s="650">
        <v>4124.266574702233</v>
      </c>
      <c r="E152" s="654">
        <f>('Cost-Effectiveness Level'!$I$3*B152)+('Cost-Effectiveness Level'!$J$3*C152)+('Cost-Effectiveness Level'!$K$3*D152)</f>
        <v>4129.769268912956</v>
      </c>
      <c r="F152" s="653">
        <f t="shared" si="46"/>
        <v>0.16708669998201614</v>
      </c>
      <c r="G152" s="5"/>
      <c r="H152" s="5"/>
      <c r="I152" s="412"/>
      <c r="J152" s="5"/>
      <c r="V152" s="5"/>
      <c r="W152" s="5"/>
      <c r="X152" s="5"/>
      <c r="AD152" s="5"/>
      <c r="AE152" s="5"/>
    </row>
    <row r="153" spans="1:31" ht="13.5" thickBot="1">
      <c r="A153" s="413" t="s">
        <v>573</v>
      </c>
      <c r="B153" s="651">
        <f>SUM(B144:B152)</f>
        <v>11903.0138919247</v>
      </c>
      <c r="C153" s="651">
        <f>SUM(C144:C152)</f>
        <v>34874.73621169836</v>
      </c>
      <c r="D153" s="651">
        <f>SUM(D144:D152)</f>
        <v>21173.26867382402</v>
      </c>
      <c r="E153" s="655">
        <f>('Cost-Effectiveness Level'!$I$3*B153)+('Cost-Effectiveness Level'!$J$3*C153)+('Cost-Effectiveness Level'!$K$3*D153)</f>
        <v>24525.775381836404</v>
      </c>
      <c r="F153" s="653">
        <f t="shared" si="46"/>
        <v>1</v>
      </c>
      <c r="G153" s="5"/>
      <c r="H153" s="5"/>
      <c r="I153" s="412"/>
      <c r="J153" s="5"/>
      <c r="V153" s="5"/>
      <c r="W153" s="5"/>
      <c r="X153" s="5"/>
      <c r="AD153" s="5"/>
      <c r="AE153" s="5"/>
    </row>
    <row r="154" spans="1:30" ht="13.5" thickBot="1">
      <c r="A154" s="659" t="s">
        <v>574</v>
      </c>
      <c r="B154" s="652">
        <f>SUMPRODUCT(B144:B152,$F144:$F152)</f>
        <v>1579.9553102608927</v>
      </c>
      <c r="C154" s="652">
        <f>SUMPRODUCT(C144:C152,$F144:$F152)</f>
        <v>4616.467218706321</v>
      </c>
      <c r="D154" s="652">
        <f>SUMPRODUCT(D144:D152,$F144:$F152)</f>
        <v>3339.5354820725056</v>
      </c>
      <c r="E154" s="652">
        <f>SUMPRODUCT(E144:E152,$F144:$F152)</f>
        <v>3472.853507631033</v>
      </c>
      <c r="F154" s="5"/>
      <c r="G154" s="5"/>
      <c r="H154" s="5"/>
      <c r="I154" s="5"/>
      <c r="U154" s="5"/>
      <c r="V154" s="5"/>
      <c r="W154" s="5"/>
      <c r="AC154" s="5"/>
      <c r="AD154" s="5"/>
    </row>
    <row r="155" spans="2:30" ht="13.5" thickBot="1">
      <c r="B155" s="5"/>
      <c r="C155" s="5"/>
      <c r="D155" s="5"/>
      <c r="E155" s="5"/>
      <c r="F155" s="5"/>
      <c r="G155" s="5"/>
      <c r="H155" s="5"/>
      <c r="I155" s="5"/>
      <c r="U155" s="5"/>
      <c r="V155" s="5"/>
      <c r="W155" s="5"/>
      <c r="AC155" s="5"/>
      <c r="AD155" s="5"/>
    </row>
    <row r="156" spans="1:30" ht="13.5" thickBot="1">
      <c r="A156" s="731" t="s">
        <v>571</v>
      </c>
      <c r="B156" s="732"/>
      <c r="C156" s="732"/>
      <c r="D156" s="733"/>
      <c r="F156" s="5"/>
      <c r="G156" s="5"/>
      <c r="H156" s="5"/>
      <c r="I156" s="5"/>
      <c r="U156" s="5"/>
      <c r="V156" s="5"/>
      <c r="W156" s="5"/>
      <c r="AC156" s="5"/>
      <c r="AD156" s="5"/>
    </row>
    <row r="157" spans="1:30" ht="13.5" thickBot="1">
      <c r="A157" s="646"/>
      <c r="B157" s="369">
        <v>850</v>
      </c>
      <c r="C157" s="369">
        <v>1350</v>
      </c>
      <c r="D157" s="369">
        <v>2184</v>
      </c>
      <c r="E157" s="370">
        <f>('Cost-Effectiveness Level'!$I$3*B157)+('Cost-Effectiveness Level'!$J$3*C157)+('Cost-Effectiveness Level'!$K$3*D157)</f>
        <v>1600.28</v>
      </c>
      <c r="F157" s="647" t="s">
        <v>28</v>
      </c>
      <c r="G157" s="5"/>
      <c r="H157" s="5"/>
      <c r="I157" s="5"/>
      <c r="U157" s="5"/>
      <c r="V157" s="5"/>
      <c r="W157" s="5"/>
      <c r="AC157" s="5"/>
      <c r="AD157" s="5"/>
    </row>
    <row r="158" spans="1:30" ht="12.75">
      <c r="A158" s="656" t="s">
        <v>172</v>
      </c>
      <c r="B158" s="657">
        <v>4666.191890398804</v>
      </c>
      <c r="C158" s="657">
        <v>8024.735359674181</v>
      </c>
      <c r="D158" s="657">
        <v>3986.773670557297</v>
      </c>
      <c r="E158" s="658">
        <f>('Cost-Effectiveness Level'!$I$3*B158)+('Cost-Effectiveness Level'!$J$3*C158)+('Cost-Effectiveness Level'!$K$3*D158)</f>
        <v>5657.082756390015</v>
      </c>
      <c r="F158" s="653">
        <f>F144</f>
        <v>0.05662447889271396</v>
      </c>
      <c r="G158" s="5"/>
      <c r="H158" s="5"/>
      <c r="I158" s="5"/>
      <c r="U158" s="5"/>
      <c r="V158" s="5"/>
      <c r="W158" s="5"/>
      <c r="AC158" s="5"/>
      <c r="AD158" s="5"/>
    </row>
    <row r="159" spans="1:30" ht="12.75">
      <c r="A159" s="321" t="s">
        <v>177</v>
      </c>
      <c r="B159" s="650">
        <v>923.853867565249</v>
      </c>
      <c r="C159" s="650">
        <v>3852.8767376767646</v>
      </c>
      <c r="D159" s="650">
        <v>803.8897965745709</v>
      </c>
      <c r="E159" s="654">
        <f>('Cost-Effectiveness Level'!$I$3*B159)+('Cost-Effectiveness Level'!$J$3*C159)+('Cost-Effectiveness Level'!$K$3*D159)</f>
        <v>1986.49764839154</v>
      </c>
      <c r="F159" s="653">
        <f aca="true" t="shared" si="47" ref="F159:F167">F145</f>
        <v>0.27965005436564294</v>
      </c>
      <c r="G159" s="5"/>
      <c r="H159" s="5"/>
      <c r="I159" s="5"/>
      <c r="U159" s="5"/>
      <c r="V159" s="5"/>
      <c r="W159" s="5"/>
      <c r="AC159" s="5"/>
      <c r="AD159" s="5"/>
    </row>
    <row r="160" spans="1:30" ht="12.75">
      <c r="A160" s="397" t="s">
        <v>185</v>
      </c>
      <c r="B160" s="650"/>
      <c r="C160" s="650"/>
      <c r="D160" s="650">
        <v>924.5231462055272</v>
      </c>
      <c r="E160" s="654">
        <f>('Cost-Effectiveness Level'!$I$3*B160)+('Cost-Effectiveness Level'!$J$3*C160)+('Cost-Effectiveness Level'!$K$3*D160)</f>
        <v>388.2997214063214</v>
      </c>
      <c r="F160" s="653">
        <f t="shared" si="47"/>
        <v>0</v>
      </c>
      <c r="G160" s="5"/>
      <c r="H160" s="5"/>
      <c r="I160" s="5"/>
      <c r="U160" s="5"/>
      <c r="V160" s="5"/>
      <c r="W160" s="5"/>
      <c r="AC160" s="5"/>
      <c r="AD160" s="5"/>
    </row>
    <row r="161" spans="1:30" ht="12.75">
      <c r="A161" s="397" t="s">
        <v>488</v>
      </c>
      <c r="B161" s="650">
        <v>3572.873440323704</v>
      </c>
      <c r="C161" s="650">
        <v>8575.311456509744</v>
      </c>
      <c r="D161" s="650">
        <v>12167.714921756928</v>
      </c>
      <c r="E161" s="654">
        <f>('Cost-Effectiveness Level'!$I$3*B161)+('Cost-Effectiveness Level'!$J$3*C161)+('Cost-Effectiveness Level'!$K$3*D161)</f>
        <v>9083.633308676353</v>
      </c>
      <c r="F161" s="653">
        <f t="shared" si="47"/>
        <v>0.20624694795404877</v>
      </c>
      <c r="G161" s="5"/>
      <c r="H161" s="5"/>
      <c r="I161" s="5"/>
      <c r="U161" s="5"/>
      <c r="V161" s="5"/>
      <c r="W161" s="5"/>
      <c r="AC161" s="5"/>
      <c r="AD161" s="5"/>
    </row>
    <row r="162" spans="1:30" ht="12.75">
      <c r="A162" s="436" t="s">
        <v>180</v>
      </c>
      <c r="B162" s="650">
        <v>531.8662760035104</v>
      </c>
      <c r="C162" s="650">
        <v>3361.9416398327267</v>
      </c>
      <c r="D162" s="650">
        <v>536.6516261354791</v>
      </c>
      <c r="E162" s="654">
        <f>('Cost-Effectiveness Level'!$I$3*B162)+('Cost-Effectiveness Level'!$J$3*C162)+('Cost-Effectiveness Level'!$K$3*D162)</f>
        <v>1609.3047613140393</v>
      </c>
      <c r="F162" s="653">
        <f t="shared" si="47"/>
        <v>0</v>
      </c>
      <c r="G162" s="5"/>
      <c r="H162" s="5"/>
      <c r="I162" s="5"/>
      <c r="U162" s="5"/>
      <c r="V162" s="5"/>
      <c r="W162" s="5"/>
      <c r="AC162" s="5"/>
      <c r="AD162" s="5"/>
    </row>
    <row r="163" spans="1:30" ht="12.75">
      <c r="A163" s="397" t="s">
        <v>174</v>
      </c>
      <c r="B163" s="650">
        <v>620.8512272739608</v>
      </c>
      <c r="C163" s="650">
        <v>3808.739415533597</v>
      </c>
      <c r="D163" s="650">
        <v>536.3703898360109</v>
      </c>
      <c r="E163" s="654">
        <f>('Cost-Effectiveness Level'!$I$3*B163)+('Cost-Effectiveness Level'!$J$3*C163)+('Cost-Effectiveness Level'!$K$3*D163)</f>
        <v>1796.7667870886835</v>
      </c>
      <c r="F163" s="653">
        <f t="shared" si="47"/>
        <v>0.21133978395883135</v>
      </c>
      <c r="G163" s="5"/>
      <c r="H163" s="5"/>
      <c r="I163" s="5"/>
      <c r="U163" s="5"/>
      <c r="V163" s="5"/>
      <c r="W163" s="5"/>
      <c r="AC163" s="5"/>
      <c r="AD163" s="5"/>
    </row>
    <row r="164" spans="1:30" ht="12.75">
      <c r="A164" s="397" t="s">
        <v>176</v>
      </c>
      <c r="B164" s="650">
        <v>524.8776656878435</v>
      </c>
      <c r="C164" s="650">
        <v>3655.6194484440675</v>
      </c>
      <c r="D164" s="650">
        <v>458.3136478169545</v>
      </c>
      <c r="E164" s="654">
        <f>('Cost-Effectiveness Level'!$I$3*B164)+('Cost-Effectiveness Level'!$J$3*C164)+('Cost-Effectiveness Level'!$K$3*D164)</f>
        <v>1686.6026556294353</v>
      </c>
      <c r="F164" s="653">
        <f t="shared" si="47"/>
        <v>0.05567381247519047</v>
      </c>
      <c r="G164" s="5"/>
      <c r="H164" s="5"/>
      <c r="I164" s="5"/>
      <c r="U164" s="5"/>
      <c r="V164" s="5"/>
      <c r="W164" s="5"/>
      <c r="AC164" s="5"/>
      <c r="AD164" s="5"/>
    </row>
    <row r="165" spans="1:30" ht="12.75">
      <c r="A165" s="397" t="s">
        <v>490</v>
      </c>
      <c r="B165" s="650">
        <v>593.8533841195494</v>
      </c>
      <c r="C165" s="650">
        <v>3407.2282703630044</v>
      </c>
      <c r="D165" s="650">
        <v>585.3923135071582</v>
      </c>
      <c r="E165" s="654">
        <f>('Cost-Effectiveness Level'!$I$3*B165)+('Cost-Effectiveness Level'!$J$3*C165)+('Cost-Effectiveness Level'!$K$3*D165)</f>
        <v>1659.382191234858</v>
      </c>
      <c r="F165" s="653">
        <f t="shared" si="47"/>
        <v>0.023378222371556377</v>
      </c>
      <c r="G165" s="5"/>
      <c r="H165" s="5"/>
      <c r="I165" s="5"/>
      <c r="U165" s="5"/>
      <c r="V165" s="5"/>
      <c r="W165" s="5"/>
      <c r="AC165" s="5"/>
      <c r="AD165" s="5"/>
    </row>
    <row r="166" spans="1:30" ht="12.75">
      <c r="A166" s="397" t="s">
        <v>233</v>
      </c>
      <c r="B166" s="650">
        <v>2569.4811035430903</v>
      </c>
      <c r="C166" s="650">
        <v>6050.844791942174</v>
      </c>
      <c r="D166" s="650">
        <v>4844.03423680619</v>
      </c>
      <c r="E166" s="654">
        <f>('Cost-Effectiveness Level'!$I$3*B166)+('Cost-Effectiveness Level'!$J$3*C166)+('Cost-Effectiveness Level'!$K$3*D166)</f>
        <v>4847.711621105244</v>
      </c>
      <c r="F166" s="653">
        <f t="shared" si="47"/>
        <v>0.16708669998201614</v>
      </c>
      <c r="G166" s="5"/>
      <c r="H166" s="5"/>
      <c r="I166" s="5"/>
      <c r="U166" s="5"/>
      <c r="V166" s="5"/>
      <c r="W166" s="5"/>
      <c r="AC166" s="5"/>
      <c r="AD166" s="5"/>
    </row>
    <row r="167" spans="1:30" ht="13.5" thickBot="1">
      <c r="A167" s="413" t="s">
        <v>573</v>
      </c>
      <c r="B167" s="651">
        <f>SUM(B158:B166)</f>
        <v>14003.848854915712</v>
      </c>
      <c r="C167" s="651">
        <f>SUM(C158:C166)</f>
        <v>40737.297119976254</v>
      </c>
      <c r="D167" s="651">
        <f>SUM(D158:D166)</f>
        <v>24843.663749196116</v>
      </c>
      <c r="E167" s="655">
        <f>('Cost-Effectiveness Level'!$I$3*B167)+('Cost-Effectiveness Level'!$J$3*C167)+('Cost-Effectiveness Level'!$K$3*D167)</f>
        <v>28715.281451236486</v>
      </c>
      <c r="F167" s="653">
        <f t="shared" si="47"/>
        <v>1</v>
      </c>
      <c r="G167" s="5"/>
      <c r="H167" s="5"/>
      <c r="I167" s="5"/>
      <c r="U167" s="5"/>
      <c r="V167" s="5"/>
      <c r="W167" s="5"/>
      <c r="AC167" s="5"/>
      <c r="AD167" s="5"/>
    </row>
    <row r="168" spans="1:30" ht="13.5" thickBot="1">
      <c r="A168" s="659" t="s">
        <v>574</v>
      </c>
      <c r="B168" s="652">
        <f>SUMPRODUCT(B158:B166,$F158:$F166)</f>
        <v>1863.1125706924047</v>
      </c>
      <c r="C168" s="652">
        <f>SUMPRODUCT(C158:C166,$F158:$F166)</f>
        <v>5399.616528261315</v>
      </c>
      <c r="D168" s="652">
        <f>SUMPRODUCT(D158:D166,$F158:$F166)</f>
        <v>3922.0424703627264</v>
      </c>
      <c r="E168" s="652">
        <f>SUMPRODUCT(E158:E166,$F158:$F166)</f>
        <v>4071.734632430125</v>
      </c>
      <c r="F168" s="5"/>
      <c r="G168" s="5"/>
      <c r="H168" s="5"/>
      <c r="I168" s="5"/>
      <c r="U168" s="5"/>
      <c r="V168" s="5"/>
      <c r="W168" s="5"/>
      <c r="AC168" s="5"/>
      <c r="AD168" s="5"/>
    </row>
    <row r="169" spans="2:30" ht="13.5" thickBot="1">
      <c r="B169" s="5"/>
      <c r="C169" s="5"/>
      <c r="D169" s="5"/>
      <c r="E169" s="5"/>
      <c r="F169" s="5"/>
      <c r="G169" s="5"/>
      <c r="H169" s="5"/>
      <c r="I169" s="5"/>
      <c r="U169" s="5"/>
      <c r="V169" s="5"/>
      <c r="W169" s="5"/>
      <c r="AC169" s="5"/>
      <c r="AD169" s="5"/>
    </row>
    <row r="170" spans="1:30" ht="13.5" thickBot="1">
      <c r="A170" s="731" t="s">
        <v>572</v>
      </c>
      <c r="B170" s="732"/>
      <c r="C170" s="732"/>
      <c r="D170" s="733"/>
      <c r="F170" s="5"/>
      <c r="G170" s="5"/>
      <c r="H170" s="5"/>
      <c r="I170" s="5"/>
      <c r="U170" s="5"/>
      <c r="V170" s="5"/>
      <c r="W170" s="5"/>
      <c r="AC170" s="5"/>
      <c r="AD170" s="5"/>
    </row>
    <row r="171" spans="1:30" ht="13.5" thickBot="1">
      <c r="A171" s="646"/>
      <c r="B171" s="369">
        <v>850</v>
      </c>
      <c r="C171" s="369">
        <v>1350</v>
      </c>
      <c r="D171" s="369">
        <v>2184</v>
      </c>
      <c r="E171" s="370">
        <f>('Cost-Effectiveness Level'!$I$3*B171)+('Cost-Effectiveness Level'!$J$3*C171)+('Cost-Effectiveness Level'!$K$3*D171)</f>
        <v>1600.28</v>
      </c>
      <c r="F171" s="647" t="s">
        <v>28</v>
      </c>
      <c r="G171" s="5"/>
      <c r="H171" s="5"/>
      <c r="I171" s="5"/>
      <c r="U171" s="5"/>
      <c r="V171" s="5"/>
      <c r="W171" s="5"/>
      <c r="AC171" s="5"/>
      <c r="AD171" s="5"/>
    </row>
    <row r="172" spans="1:30" ht="12.75">
      <c r="A172" s="656" t="s">
        <v>172</v>
      </c>
      <c r="B172" s="657">
        <v>3396.797458263016</v>
      </c>
      <c r="C172" s="657">
        <v>5879.234787531786</v>
      </c>
      <c r="D172" s="657">
        <v>2902.210835790953</v>
      </c>
      <c r="E172" s="658">
        <f>('Cost-Effectiveness Level'!$I$3*B172)+('Cost-Effectiveness Level'!$J$3*C172)+('Cost-Effectiveness Level'!$K$3*D172)</f>
        <v>4132.397261946882</v>
      </c>
      <c r="F172" s="653">
        <f>F158</f>
        <v>0.05662447889271396</v>
      </c>
      <c r="G172" s="5"/>
      <c r="H172" s="5"/>
      <c r="I172" s="5"/>
      <c r="U172" s="5"/>
      <c r="V172" s="5"/>
      <c r="W172" s="5"/>
      <c r="AC172" s="5"/>
      <c r="AD172" s="5"/>
    </row>
    <row r="173" spans="1:30" ht="12.75">
      <c r="A173" s="321" t="s">
        <v>177</v>
      </c>
      <c r="B173" s="650">
        <v>653.7163712277197</v>
      </c>
      <c r="C173" s="650">
        <v>2812.302381418318</v>
      </c>
      <c r="D173" s="650">
        <v>576.7169296689572</v>
      </c>
      <c r="E173" s="654">
        <f>('Cost-Effectiveness Level'!$I$3*B173)+('Cost-Effectiveness Level'!$J$3*C173)+('Cost-Effectiveness Level'!$K$3*D173)</f>
        <v>1441.6392896454668</v>
      </c>
      <c r="F173" s="653">
        <f aca="true" t="shared" si="48" ref="F173:F181">F159</f>
        <v>0.27965005436564294</v>
      </c>
      <c r="G173" s="5"/>
      <c r="H173" s="5"/>
      <c r="I173" s="5"/>
      <c r="U173" s="5"/>
      <c r="V173" s="5"/>
      <c r="W173" s="5"/>
      <c r="AC173" s="5"/>
      <c r="AD173" s="5"/>
    </row>
    <row r="174" spans="1:30" ht="12.75">
      <c r="A174" s="397" t="s">
        <v>185</v>
      </c>
      <c r="B174" s="650"/>
      <c r="C174" s="650"/>
      <c r="D174" s="650">
        <v>658.2105564312242</v>
      </c>
      <c r="E174" s="654">
        <f>('Cost-Effectiveness Level'!$I$3*B174)+('Cost-Effectiveness Level'!$J$3*C174)+('Cost-Effectiveness Level'!$K$3*D174)</f>
        <v>276.44843370111414</v>
      </c>
      <c r="F174" s="653">
        <f t="shared" si="48"/>
        <v>0</v>
      </c>
      <c r="G174" s="5"/>
      <c r="H174" s="5"/>
      <c r="I174" s="5"/>
      <c r="U174" s="5"/>
      <c r="V174" s="5"/>
      <c r="W174" s="5"/>
      <c r="AC174" s="5"/>
      <c r="AD174" s="5"/>
    </row>
    <row r="175" spans="1:30" ht="12.75">
      <c r="A175" s="397" t="s">
        <v>488</v>
      </c>
      <c r="B175" s="650">
        <v>2502.0590485712682</v>
      </c>
      <c r="C175" s="650">
        <v>6157.81550659768</v>
      </c>
      <c r="D175" s="650">
        <v>8696.810842501114</v>
      </c>
      <c r="E175" s="654">
        <f>('Cost-Effectiveness Level'!$I$3*B175)+('Cost-Effectiveness Level'!$J$3*C175)+('Cost-Effectiveness Level'!$K$3*D175)</f>
        <v>6493.04225607184</v>
      </c>
      <c r="F175" s="653">
        <f t="shared" si="48"/>
        <v>0.20624694795404877</v>
      </c>
      <c r="G175" s="5"/>
      <c r="H175" s="5"/>
      <c r="I175" s="5"/>
      <c r="U175" s="5"/>
      <c r="V175" s="5"/>
      <c r="W175" s="5"/>
      <c r="AC175" s="5"/>
      <c r="AD175" s="5"/>
    </row>
    <row r="176" spans="1:30" ht="12.75">
      <c r="A176" s="436" t="s">
        <v>180</v>
      </c>
      <c r="B176" s="650">
        <v>364.5499912100754</v>
      </c>
      <c r="C176" s="650">
        <v>2449.2212330627517</v>
      </c>
      <c r="D176" s="650">
        <v>382.5392323469714</v>
      </c>
      <c r="E176" s="654">
        <f>('Cost-Effectiveness Level'!$I$3*B176)+('Cost-Effectiveness Level'!$J$3*C176)+('Cost-Effectiveness Level'!$K$3*D176)</f>
        <v>1164.2805443915886</v>
      </c>
      <c r="F176" s="653">
        <f t="shared" si="48"/>
        <v>0</v>
      </c>
      <c r="G176" s="5"/>
      <c r="H176" s="5"/>
      <c r="I176" s="5"/>
      <c r="U176" s="5"/>
      <c r="V176" s="5"/>
      <c r="W176" s="5"/>
      <c r="AC176" s="5"/>
      <c r="AD176" s="5"/>
    </row>
    <row r="177" spans="1:30" ht="12.75">
      <c r="A177" s="397" t="s">
        <v>174</v>
      </c>
      <c r="B177" s="650">
        <v>441.6811706046374</v>
      </c>
      <c r="C177" s="650">
        <v>2780.4493601979593</v>
      </c>
      <c r="D177" s="650">
        <v>385.4580933053803</v>
      </c>
      <c r="E177" s="654">
        <f>('Cost-Effectiveness Level'!$I$3*B177)+('Cost-Effectiveness Level'!$J$3*C177)+('Cost-Effectiveness Level'!$K$3*D177)</f>
        <v>1306.7993901844118</v>
      </c>
      <c r="F177" s="653">
        <f t="shared" si="48"/>
        <v>0.21133978395883135</v>
      </c>
      <c r="G177" s="5"/>
      <c r="H177" s="5"/>
      <c r="I177" s="5"/>
      <c r="U177" s="5"/>
      <c r="V177" s="5"/>
      <c r="W177" s="5"/>
      <c r="AC177" s="5"/>
      <c r="AD177" s="5"/>
    </row>
    <row r="178" spans="1:30" ht="12.75">
      <c r="A178" s="397" t="s">
        <v>176</v>
      </c>
      <c r="B178" s="650">
        <v>370.04670459232875</v>
      </c>
      <c r="C178" s="650">
        <v>2667.1819428680847</v>
      </c>
      <c r="D178" s="650">
        <v>327.9525883390379</v>
      </c>
      <c r="E178" s="654">
        <f>('Cost-Effectiveness Level'!$I$3*B178)+('Cost-Effectiveness Level'!$J$3*C178)+('Cost-Effectiveness Level'!$K$3*D178)</f>
        <v>1225.2785663107338</v>
      </c>
      <c r="F178" s="653">
        <f t="shared" si="48"/>
        <v>0.05567381247519047</v>
      </c>
      <c r="G178" s="5"/>
      <c r="H178" s="5"/>
      <c r="I178" s="5"/>
      <c r="U178" s="5"/>
      <c r="V178" s="5"/>
      <c r="W178" s="5"/>
      <c r="AC178" s="5"/>
      <c r="AD178" s="5"/>
    </row>
    <row r="179" spans="1:30" ht="12.75">
      <c r="A179" s="397" t="s">
        <v>490</v>
      </c>
      <c r="B179" s="650">
        <v>412.0895634339231</v>
      </c>
      <c r="C179" s="650">
        <v>2479.244680030184</v>
      </c>
      <c r="D179" s="650">
        <v>416.73521097274715</v>
      </c>
      <c r="E179" s="654">
        <f>('Cost-Effectiveness Level'!$I$3*B179)+('Cost-Effectiveness Level'!$J$3*C179)+('Cost-Effectiveness Level'!$K$3*D179)</f>
        <v>1199.5596797068085</v>
      </c>
      <c r="F179" s="653">
        <f t="shared" si="48"/>
        <v>0.023378222371556377</v>
      </c>
      <c r="G179" s="5"/>
      <c r="H179" s="5"/>
      <c r="I179" s="5"/>
      <c r="U179" s="5"/>
      <c r="V179" s="5"/>
      <c r="W179" s="5"/>
      <c r="AC179" s="5"/>
      <c r="AD179" s="5"/>
    </row>
    <row r="180" spans="1:30" ht="12.75">
      <c r="A180" s="397" t="s">
        <v>233</v>
      </c>
      <c r="B180" s="650">
        <v>1838.4873614427452</v>
      </c>
      <c r="C180" s="650">
        <v>4398.844916646905</v>
      </c>
      <c r="D180" s="650">
        <v>3500.9703732569724</v>
      </c>
      <c r="E180" s="654">
        <f>('Cost-Effectiveness Level'!$I$3*B180)+('Cost-Effectiveness Level'!$J$3*C180)+('Cost-Effectiveness Level'!$K$3*D180)</f>
        <v>3509.666097382302</v>
      </c>
      <c r="F180" s="653">
        <f t="shared" si="48"/>
        <v>0.16708669998201614</v>
      </c>
      <c r="G180" s="5"/>
      <c r="H180" s="5"/>
      <c r="I180" s="5"/>
      <c r="U180" s="5"/>
      <c r="V180" s="5"/>
      <c r="W180" s="5"/>
      <c r="AC180" s="5"/>
      <c r="AD180" s="5"/>
    </row>
    <row r="181" spans="1:30" ht="13.5" thickBot="1">
      <c r="A181" s="413" t="s">
        <v>573</v>
      </c>
      <c r="B181" s="651">
        <f>SUM(B172:B180)</f>
        <v>9979.427669345714</v>
      </c>
      <c r="C181" s="651">
        <f>SUM(C172:C180)</f>
        <v>29624.29480835367</v>
      </c>
      <c r="D181" s="651">
        <f>SUM(D172:D180)</f>
        <v>17847.604662613358</v>
      </c>
      <c r="E181" s="655">
        <f>('Cost-Effectiveness Level'!$I$3*B181)+('Cost-Effectiveness Level'!$J$3*C181)+('Cost-Effectiveness Level'!$K$3*D181)</f>
        <v>20749.111519341146</v>
      </c>
      <c r="F181" s="653">
        <f t="shared" si="48"/>
        <v>1</v>
      </c>
      <c r="G181" s="5"/>
      <c r="H181" s="5"/>
      <c r="I181" s="5"/>
      <c r="U181" s="5"/>
      <c r="V181" s="5"/>
      <c r="W181" s="5"/>
      <c r="AC181" s="5"/>
      <c r="AD181" s="5"/>
    </row>
    <row r="182" spans="1:30" ht="13.5" thickBot="1">
      <c r="A182" s="659" t="s">
        <v>574</v>
      </c>
      <c r="B182" s="652">
        <f>SUMPRODUCT(B172:B180,$F172:$F180)</f>
        <v>1321.963168746288</v>
      </c>
      <c r="C182" s="652">
        <f>SUMPRODUCT(C172:C180,$F172:$F180)</f>
        <v>3918.460343003651</v>
      </c>
      <c r="D182" s="652">
        <f>SUMPRODUCT(D172:D180,$F172:$F180)</f>
        <v>2813.7349060512715</v>
      </c>
      <c r="E182" s="652">
        <f>SUMPRODUCT(E172:E180,$F172:$F180)</f>
        <v>2935.176224632179</v>
      </c>
      <c r="F182" s="5"/>
      <c r="G182" s="5"/>
      <c r="H182" s="5"/>
      <c r="I182" s="5"/>
      <c r="U182" s="5"/>
      <c r="V182" s="5"/>
      <c r="W182" s="5"/>
      <c r="AC182" s="5"/>
      <c r="AD182" s="5"/>
    </row>
    <row r="183" spans="2:30" ht="13.5" thickBot="1">
      <c r="B183" s="5"/>
      <c r="C183" s="5"/>
      <c r="D183" s="5"/>
      <c r="E183" s="5"/>
      <c r="F183" s="5"/>
      <c r="G183" s="5"/>
      <c r="H183" s="5"/>
      <c r="I183" s="5"/>
      <c r="U183" s="5"/>
      <c r="V183" s="5"/>
      <c r="W183" s="5"/>
      <c r="AC183" s="5"/>
      <c r="AD183" s="5"/>
    </row>
    <row r="184" spans="1:30" ht="13.5" thickBot="1">
      <c r="A184" s="734" t="str">
        <f>"Incremental Savings "&amp;'Cost-Effectiveness Level'!R30</f>
        <v>Incremental Savings CASE =&gt; PNW Region</v>
      </c>
      <c r="B184" s="735"/>
      <c r="C184" s="735"/>
      <c r="D184" s="736"/>
      <c r="E184" s="667"/>
      <c r="F184" s="668"/>
      <c r="G184" s="5"/>
      <c r="H184" s="5"/>
      <c r="I184" s="5"/>
      <c r="U184" s="5"/>
      <c r="V184" s="5"/>
      <c r="W184" s="5"/>
      <c r="AC184" s="5"/>
      <c r="AD184" s="5"/>
    </row>
    <row r="185" spans="1:30" ht="13.5" thickBot="1">
      <c r="A185" s="663"/>
      <c r="B185" s="664">
        <v>850</v>
      </c>
      <c r="C185" s="664">
        <v>1350</v>
      </c>
      <c r="D185" s="664">
        <v>2184</v>
      </c>
      <c r="E185" s="665">
        <f>('Cost-Effectiveness Level'!$I$3*B185)+('Cost-Effectiveness Level'!$J$3*C185)+('Cost-Effectiveness Level'!$K$3*D185)</f>
        <v>1600.28</v>
      </c>
      <c r="F185" s="666" t="s">
        <v>28</v>
      </c>
      <c r="G185" s="5"/>
      <c r="H185" s="5"/>
      <c r="I185" s="5"/>
      <c r="U185" s="5"/>
      <c r="V185" s="5"/>
      <c r="W185" s="5"/>
      <c r="AC185" s="5"/>
      <c r="AD185" s="5"/>
    </row>
    <row r="186" spans="1:30" ht="12.75">
      <c r="A186" s="656" t="s">
        <v>172</v>
      </c>
      <c r="B186" s="657">
        <f>VLOOKUP($A186,$T$45:$Y$56,6,0)</f>
        <v>3396.797458263016</v>
      </c>
      <c r="C186" s="657">
        <f>VLOOKUP($A186,$Z$45:$AE$59,6,0)+VLOOKUP(A$16,$Z$45:$AE$59,6,0)</f>
        <v>5879.234787531786</v>
      </c>
      <c r="D186" s="657">
        <f aca="true" t="shared" si="49" ref="D186:D194">VLOOKUP($A186,$AF$45:$AK$58,6,0)</f>
        <v>2902.210835790953</v>
      </c>
      <c r="E186" s="658">
        <f>('Cost-Effectiveness Level'!$I$3*B186)+('Cost-Effectiveness Level'!$J$3*C186)+('Cost-Effectiveness Level'!$K$3*D186)</f>
        <v>4132.397261946882</v>
      </c>
      <c r="F186" s="661">
        <f>F172</f>
        <v>0.05662447889271396</v>
      </c>
      <c r="G186" s="5"/>
      <c r="H186" s="5"/>
      <c r="I186" s="5"/>
      <c r="U186" s="5"/>
      <c r="V186" s="5"/>
      <c r="W186" s="5"/>
      <c r="AC186" s="5"/>
      <c r="AD186" s="5"/>
    </row>
    <row r="187" spans="1:30" ht="12.75">
      <c r="A187" s="321" t="s">
        <v>177</v>
      </c>
      <c r="B187" s="650">
        <f>VLOOKUP($A187,$T$45:$Y$56,6,0)</f>
        <v>653.7163712277197</v>
      </c>
      <c r="C187" s="650">
        <f>VLOOKUP($A187,$Z$45:$AE$59,6,0)+VLOOKUP(A$16,$Z$45:$AE$59,6,0)</f>
        <v>2812.302381418318</v>
      </c>
      <c r="D187" s="650">
        <f t="shared" si="49"/>
        <v>576.7169296689572</v>
      </c>
      <c r="E187" s="654">
        <f>('Cost-Effectiveness Level'!$I$3*B187)+('Cost-Effectiveness Level'!$J$3*C187)+('Cost-Effectiveness Level'!$K$3*D187)</f>
        <v>1441.6392896454668</v>
      </c>
      <c r="F187" s="661">
        <f aca="true" t="shared" si="50" ref="F187:F195">F173</f>
        <v>0.27965005436564294</v>
      </c>
      <c r="G187" s="5"/>
      <c r="H187" s="5"/>
      <c r="I187" s="5"/>
      <c r="U187" s="5"/>
      <c r="V187" s="5"/>
      <c r="W187" s="5"/>
      <c r="AC187" s="5"/>
      <c r="AD187" s="5"/>
    </row>
    <row r="188" spans="1:30" ht="12.75">
      <c r="A188" s="397" t="s">
        <v>185</v>
      </c>
      <c r="B188" s="650"/>
      <c r="C188" s="650"/>
      <c r="D188" s="650">
        <f t="shared" si="49"/>
        <v>658.2105564312242</v>
      </c>
      <c r="E188" s="654">
        <f>('Cost-Effectiveness Level'!$I$3*B188)+('Cost-Effectiveness Level'!$J$3*C188)+('Cost-Effectiveness Level'!$K$3*D188)</f>
        <v>276.44843370111414</v>
      </c>
      <c r="F188" s="661">
        <f t="shared" si="50"/>
        <v>0</v>
      </c>
      <c r="G188" s="5"/>
      <c r="H188" s="5"/>
      <c r="I188" s="5"/>
      <c r="U188" s="5"/>
      <c r="V188" s="5"/>
      <c r="W188" s="5"/>
      <c r="AC188" s="5"/>
      <c r="AD188" s="5"/>
    </row>
    <row r="189" spans="1:30" ht="12.75">
      <c r="A189" s="397" t="s">
        <v>488</v>
      </c>
      <c r="B189" s="650">
        <f aca="true" t="shared" si="51" ref="B189:B194">VLOOKUP($A189,$T$45:$Y$56,6,0)</f>
        <v>2502.0590485712682</v>
      </c>
      <c r="C189" s="650">
        <f aca="true" t="shared" si="52" ref="C189:C194">VLOOKUP($A189,$Z$45:$AE$59,6,0)+VLOOKUP(A$16,$Z$45:$AE$59,6,0)</f>
        <v>6157.81550659768</v>
      </c>
      <c r="D189" s="650">
        <f t="shared" si="49"/>
        <v>8696.810842501114</v>
      </c>
      <c r="E189" s="654">
        <f>('Cost-Effectiveness Level'!$I$3*B189)+('Cost-Effectiveness Level'!$J$3*C189)+('Cost-Effectiveness Level'!$K$3*D189)</f>
        <v>6493.04225607184</v>
      </c>
      <c r="F189" s="661">
        <f t="shared" si="50"/>
        <v>0.20624694795404877</v>
      </c>
      <c r="G189" s="5"/>
      <c r="H189" s="5"/>
      <c r="I189" s="5"/>
      <c r="U189" s="5"/>
      <c r="V189" s="5"/>
      <c r="W189" s="5"/>
      <c r="AC189" s="5"/>
      <c r="AD189" s="5"/>
    </row>
    <row r="190" spans="1:30" ht="12.75">
      <c r="A190" s="436" t="s">
        <v>180</v>
      </c>
      <c r="B190" s="650">
        <f t="shared" si="51"/>
        <v>364.5499912100754</v>
      </c>
      <c r="C190" s="650">
        <f t="shared" si="52"/>
        <v>2449.2212330627517</v>
      </c>
      <c r="D190" s="650">
        <f t="shared" si="49"/>
        <v>382.5392323469714</v>
      </c>
      <c r="E190" s="654">
        <f>('Cost-Effectiveness Level'!$I$3*B190)+('Cost-Effectiveness Level'!$J$3*C190)+('Cost-Effectiveness Level'!$K$3*D190)</f>
        <v>1164.2805443915886</v>
      </c>
      <c r="F190" s="661">
        <f t="shared" si="50"/>
        <v>0</v>
      </c>
      <c r="G190" s="5"/>
      <c r="H190" s="5"/>
      <c r="I190" s="5"/>
      <c r="U190" s="5"/>
      <c r="V190" s="5"/>
      <c r="W190" s="5"/>
      <c r="AC190" s="5"/>
      <c r="AD190" s="5"/>
    </row>
    <row r="191" spans="1:30" ht="12.75">
      <c r="A191" s="397" t="s">
        <v>174</v>
      </c>
      <c r="B191" s="650">
        <f t="shared" si="51"/>
        <v>441.6811706046374</v>
      </c>
      <c r="C191" s="650">
        <f t="shared" si="52"/>
        <v>2780.4493601979593</v>
      </c>
      <c r="D191" s="650">
        <f t="shared" si="49"/>
        <v>385.4580933053803</v>
      </c>
      <c r="E191" s="654">
        <f>('Cost-Effectiveness Level'!$I$3*B191)+('Cost-Effectiveness Level'!$J$3*C191)+('Cost-Effectiveness Level'!$K$3*D191)</f>
        <v>1306.7993901844118</v>
      </c>
      <c r="F191" s="661">
        <f t="shared" si="50"/>
        <v>0.21133978395883135</v>
      </c>
      <c r="G191" s="5"/>
      <c r="H191" s="5"/>
      <c r="I191" s="5"/>
      <c r="U191" s="5"/>
      <c r="V191" s="5"/>
      <c r="W191" s="5"/>
      <c r="AC191" s="5"/>
      <c r="AD191" s="5"/>
    </row>
    <row r="192" spans="1:30" ht="12.75">
      <c r="A192" s="397" t="s">
        <v>176</v>
      </c>
      <c r="B192" s="650">
        <f t="shared" si="51"/>
        <v>370.04670459232875</v>
      </c>
      <c r="C192" s="650">
        <f t="shared" si="52"/>
        <v>2667.1819428680847</v>
      </c>
      <c r="D192" s="650">
        <f t="shared" si="49"/>
        <v>327.9525883390379</v>
      </c>
      <c r="E192" s="654">
        <f>('Cost-Effectiveness Level'!$I$3*B192)+('Cost-Effectiveness Level'!$J$3*C192)+('Cost-Effectiveness Level'!$K$3*D192)</f>
        <v>1225.2785663107338</v>
      </c>
      <c r="F192" s="661">
        <f t="shared" si="50"/>
        <v>0.05567381247519047</v>
      </c>
      <c r="G192" s="5"/>
      <c r="H192" s="5"/>
      <c r="I192" s="5"/>
      <c r="U192" s="5"/>
      <c r="V192" s="5"/>
      <c r="W192" s="5"/>
      <c r="AC192" s="5"/>
      <c r="AD192" s="5"/>
    </row>
    <row r="193" spans="1:30" ht="12.75">
      <c r="A193" s="397" t="s">
        <v>490</v>
      </c>
      <c r="B193" s="650">
        <f t="shared" si="51"/>
        <v>412.0895634339231</v>
      </c>
      <c r="C193" s="650">
        <f t="shared" si="52"/>
        <v>2479.244680030184</v>
      </c>
      <c r="D193" s="650">
        <f t="shared" si="49"/>
        <v>416.73521097274715</v>
      </c>
      <c r="E193" s="654">
        <f>('Cost-Effectiveness Level'!$I$3*B193)+('Cost-Effectiveness Level'!$J$3*C193)+('Cost-Effectiveness Level'!$K$3*D193)</f>
        <v>1199.5596797068085</v>
      </c>
      <c r="F193" s="661">
        <f t="shared" si="50"/>
        <v>0.023378222371556377</v>
      </c>
      <c r="G193" s="5"/>
      <c r="H193" s="5"/>
      <c r="I193" s="5"/>
      <c r="U193" s="5"/>
      <c r="V193" s="5"/>
      <c r="W193" s="5"/>
      <c r="AC193" s="5"/>
      <c r="AD193" s="5"/>
    </row>
    <row r="194" spans="1:30" ht="12.75">
      <c r="A194" s="397" t="s">
        <v>233</v>
      </c>
      <c r="B194" s="650">
        <f t="shared" si="51"/>
        <v>1838.4873614427452</v>
      </c>
      <c r="C194" s="650">
        <f t="shared" si="52"/>
        <v>4398.844916646905</v>
      </c>
      <c r="D194" s="650">
        <f t="shared" si="49"/>
        <v>3500.9703732569724</v>
      </c>
      <c r="E194" s="654">
        <f>('Cost-Effectiveness Level'!$I$3*B194)+('Cost-Effectiveness Level'!$J$3*C194)+('Cost-Effectiveness Level'!$K$3*D194)</f>
        <v>3509.666097382302</v>
      </c>
      <c r="F194" s="661">
        <f t="shared" si="50"/>
        <v>0.16708669998201614</v>
      </c>
      <c r="G194" s="5"/>
      <c r="H194" s="5"/>
      <c r="I194" s="5"/>
      <c r="U194" s="5"/>
      <c r="V194" s="5"/>
      <c r="W194" s="5"/>
      <c r="AC194" s="5"/>
      <c r="AD194" s="5"/>
    </row>
    <row r="195" spans="1:30" ht="13.5" thickBot="1">
      <c r="A195" s="413" t="s">
        <v>573</v>
      </c>
      <c r="B195" s="651">
        <f>SUM(B186:B194)</f>
        <v>9979.427669345714</v>
      </c>
      <c r="C195" s="651">
        <f>SUM(C186:C194)</f>
        <v>29624.29480835367</v>
      </c>
      <c r="D195" s="651">
        <f>SUM(D186:D194)</f>
        <v>17847.604662613358</v>
      </c>
      <c r="E195" s="655">
        <f>('Cost-Effectiveness Level'!$I$3*B195)+('Cost-Effectiveness Level'!$J$3*C195)+('Cost-Effectiveness Level'!$K$3*D195)</f>
        <v>20749.111519341146</v>
      </c>
      <c r="F195" s="662">
        <f t="shared" si="50"/>
        <v>1</v>
      </c>
      <c r="G195" s="5"/>
      <c r="H195" s="5"/>
      <c r="I195" s="5"/>
      <c r="U195" s="5"/>
      <c r="V195" s="5"/>
      <c r="W195" s="5"/>
      <c r="AC195" s="5"/>
      <c r="AD195" s="5"/>
    </row>
    <row r="196" spans="1:30" ht="13.5" thickBot="1">
      <c r="A196" s="659" t="s">
        <v>574</v>
      </c>
      <c r="B196" s="660">
        <f>SUMPRODUCT(B186:B194,$F186:$F194)</f>
        <v>1321.963168746288</v>
      </c>
      <c r="C196" s="660">
        <f>SUMPRODUCT(C186:C194,$F186:$F194)</f>
        <v>3918.460343003651</v>
      </c>
      <c r="D196" s="660">
        <f>SUMPRODUCT(D186:D194,$F186:$F194)</f>
        <v>2813.7349060512715</v>
      </c>
      <c r="E196" s="660">
        <f>SUMPRODUCT(E186:E194,$F186:$F194)</f>
        <v>2935.176224632179</v>
      </c>
      <c r="F196" s="669"/>
      <c r="G196" s="5"/>
      <c r="H196" s="5"/>
      <c r="I196" s="5"/>
      <c r="U196" s="5"/>
      <c r="V196" s="5"/>
      <c r="W196" s="5"/>
      <c r="AC196" s="5"/>
      <c r="AD196" s="5"/>
    </row>
    <row r="197" spans="2:30" ht="12.75">
      <c r="B197" s="5"/>
      <c r="C197" s="5"/>
      <c r="D197" s="5"/>
      <c r="E197" s="5"/>
      <c r="F197" s="5"/>
      <c r="G197" s="5"/>
      <c r="H197" s="5"/>
      <c r="I197" s="5"/>
      <c r="U197" s="5"/>
      <c r="V197" s="5"/>
      <c r="W197" s="5"/>
      <c r="AC197" s="5"/>
      <c r="AD197" s="5"/>
    </row>
    <row r="198" spans="2:30" ht="12.75">
      <c r="B198" s="5"/>
      <c r="C198" s="5"/>
      <c r="D198" s="5"/>
      <c r="E198" s="5"/>
      <c r="F198" s="5"/>
      <c r="G198" s="5"/>
      <c r="H198" s="5"/>
      <c r="I198" s="5"/>
      <c r="U198" s="5"/>
      <c r="V198" s="5"/>
      <c r="W198" s="5"/>
      <c r="AC198" s="5"/>
      <c r="AD198" s="5"/>
    </row>
    <row r="199" spans="2:30" ht="12.75">
      <c r="B199" s="5"/>
      <c r="C199" s="5"/>
      <c r="D199" s="5"/>
      <c r="E199" s="5"/>
      <c r="F199" s="5"/>
      <c r="G199" s="5"/>
      <c r="H199" s="5"/>
      <c r="I199" s="5"/>
      <c r="U199" s="5"/>
      <c r="V199" s="5"/>
      <c r="W199" s="5"/>
      <c r="AC199" s="5"/>
      <c r="AD199" s="5"/>
    </row>
    <row r="200" spans="2:30" ht="12.75">
      <c r="B200" s="5"/>
      <c r="C200" s="5"/>
      <c r="D200" s="5"/>
      <c r="E200" s="5"/>
      <c r="F200" s="5"/>
      <c r="G200" s="5"/>
      <c r="H200" s="5"/>
      <c r="I200" s="5"/>
      <c r="U200" s="5"/>
      <c r="V200" s="5"/>
      <c r="W200" s="5"/>
      <c r="AC200" s="5"/>
      <c r="AD200" s="5"/>
    </row>
    <row r="201" spans="2:30" ht="12.75">
      <c r="B201" s="5"/>
      <c r="C201" s="5"/>
      <c r="D201" s="5"/>
      <c r="E201" s="5"/>
      <c r="F201" s="5"/>
      <c r="G201" s="5"/>
      <c r="H201" s="5"/>
      <c r="I201" s="5"/>
      <c r="U201" s="5"/>
      <c r="V201" s="5"/>
      <c r="W201" s="5"/>
      <c r="AC201" s="5"/>
      <c r="AD201" s="5"/>
    </row>
    <row r="202" spans="2:30" ht="12.75">
      <c r="B202" s="5"/>
      <c r="C202" s="5"/>
      <c r="D202" s="5"/>
      <c r="E202" s="5"/>
      <c r="F202" s="5"/>
      <c r="G202" s="5"/>
      <c r="H202" s="5"/>
      <c r="I202" s="5"/>
      <c r="U202" s="5"/>
      <c r="V202" s="5"/>
      <c r="W202" s="5"/>
      <c r="AC202" s="5"/>
      <c r="AD202" s="5"/>
    </row>
    <row r="203" spans="2:30" ht="12.75">
      <c r="B203" s="5"/>
      <c r="C203" s="5"/>
      <c r="D203" s="5"/>
      <c r="E203" s="5"/>
      <c r="F203" s="5"/>
      <c r="G203" s="5"/>
      <c r="H203" s="5"/>
      <c r="I203" s="5"/>
      <c r="U203" s="5"/>
      <c r="V203" s="5"/>
      <c r="W203" s="5"/>
      <c r="AC203" s="5"/>
      <c r="AD203" s="5"/>
    </row>
    <row r="204" spans="2:30" ht="12.75">
      <c r="B204" s="5"/>
      <c r="C204" s="5"/>
      <c r="D204" s="5"/>
      <c r="E204" s="5"/>
      <c r="F204" s="5"/>
      <c r="G204" s="5"/>
      <c r="H204" s="5"/>
      <c r="I204" s="5"/>
      <c r="U204" s="5"/>
      <c r="V204" s="5"/>
      <c r="W204" s="5"/>
      <c r="AC204" s="5"/>
      <c r="AD204" s="5"/>
    </row>
    <row r="205" spans="2:30" ht="12.75">
      <c r="B205" s="5"/>
      <c r="C205" s="5"/>
      <c r="D205" s="5"/>
      <c r="E205" s="5"/>
      <c r="F205" s="5"/>
      <c r="G205" s="5"/>
      <c r="H205" s="5"/>
      <c r="I205" s="5"/>
      <c r="U205" s="5"/>
      <c r="V205" s="5"/>
      <c r="W205" s="5"/>
      <c r="AC205" s="5"/>
      <c r="AD205" s="5"/>
    </row>
    <row r="206" spans="2:30" ht="12.75">
      <c r="B206" s="5"/>
      <c r="C206" s="5"/>
      <c r="D206" s="5"/>
      <c r="E206" s="5"/>
      <c r="F206" s="5"/>
      <c r="G206" s="5"/>
      <c r="H206" s="5"/>
      <c r="I206" s="5"/>
      <c r="U206" s="5"/>
      <c r="V206" s="5"/>
      <c r="W206" s="5"/>
      <c r="AC206" s="5"/>
      <c r="AD206" s="5"/>
    </row>
    <row r="207" spans="2:30" ht="12.75">
      <c r="B207" s="5"/>
      <c r="C207" s="5"/>
      <c r="D207" s="5"/>
      <c r="E207" s="5"/>
      <c r="F207" s="5"/>
      <c r="G207" s="5"/>
      <c r="H207" s="5"/>
      <c r="I207" s="5"/>
      <c r="U207" s="5"/>
      <c r="V207" s="5"/>
      <c r="W207" s="5"/>
      <c r="AC207" s="5"/>
      <c r="AD207" s="5"/>
    </row>
    <row r="208" spans="2:30" ht="12.75">
      <c r="B208" s="5"/>
      <c r="C208" s="5"/>
      <c r="D208" s="5"/>
      <c r="E208" s="5"/>
      <c r="F208" s="5"/>
      <c r="G208" s="5"/>
      <c r="H208" s="5"/>
      <c r="I208" s="5"/>
      <c r="U208" s="5"/>
      <c r="V208" s="5"/>
      <c r="W208" s="5"/>
      <c r="AC208" s="5"/>
      <c r="AD208" s="5"/>
    </row>
    <row r="209" spans="2:30" ht="12.75">
      <c r="B209" s="5"/>
      <c r="C209" s="5"/>
      <c r="D209" s="5"/>
      <c r="E209" s="5"/>
      <c r="F209" s="5"/>
      <c r="G209" s="5"/>
      <c r="H209" s="5"/>
      <c r="I209" s="5"/>
      <c r="U209" s="5"/>
      <c r="V209" s="5"/>
      <c r="W209" s="5"/>
      <c r="AC209" s="5"/>
      <c r="AD209" s="5"/>
    </row>
    <row r="210" spans="2:30" ht="12.75">
      <c r="B210" s="5"/>
      <c r="C210" s="5"/>
      <c r="D210" s="5"/>
      <c r="E210" s="5"/>
      <c r="F210" s="5"/>
      <c r="G210" s="5"/>
      <c r="H210" s="5"/>
      <c r="I210" s="5"/>
      <c r="U210" s="5"/>
      <c r="V210" s="5"/>
      <c r="W210" s="5"/>
      <c r="AC210" s="5"/>
      <c r="AD210" s="5"/>
    </row>
    <row r="211" spans="2:29" ht="12.75">
      <c r="B211" s="5"/>
      <c r="C211" s="5"/>
      <c r="D211" s="5"/>
      <c r="E211" s="5"/>
      <c r="F211" s="5"/>
      <c r="G211" s="5"/>
      <c r="H211" s="5"/>
      <c r="I211" s="5"/>
      <c r="U211" s="5"/>
      <c r="V211" s="5"/>
      <c r="W211" s="5"/>
      <c r="AC211" s="5"/>
    </row>
    <row r="212" spans="2:29" ht="12.75">
      <c r="B212" s="5"/>
      <c r="C212" s="5"/>
      <c r="D212" s="5"/>
      <c r="E212" s="5"/>
      <c r="F212" s="5"/>
      <c r="G212" s="5"/>
      <c r="H212" s="5"/>
      <c r="I212" s="5"/>
      <c r="U212" s="5"/>
      <c r="V212" s="5"/>
      <c r="W212" s="5"/>
      <c r="AC212" s="5"/>
    </row>
    <row r="213" spans="2:29" ht="12.75">
      <c r="B213" s="5"/>
      <c r="C213" s="5"/>
      <c r="D213" s="5"/>
      <c r="E213" s="5"/>
      <c r="F213" s="5"/>
      <c r="G213" s="5"/>
      <c r="H213" s="5"/>
      <c r="I213" s="5"/>
      <c r="U213" s="5"/>
      <c r="V213" s="5"/>
      <c r="W213" s="5"/>
      <c r="AC213" s="5"/>
    </row>
    <row r="214" spans="2:29" ht="12.75">
      <c r="B214" s="5"/>
      <c r="C214" s="5"/>
      <c r="D214" s="5"/>
      <c r="E214" s="5"/>
      <c r="F214" s="5"/>
      <c r="G214" s="5"/>
      <c r="H214" s="5"/>
      <c r="I214" s="5"/>
      <c r="U214" s="5"/>
      <c r="V214" s="5"/>
      <c r="W214" s="5"/>
      <c r="AC214" s="5"/>
    </row>
    <row r="215" spans="2:29" ht="12.75">
      <c r="B215" s="5"/>
      <c r="C215" s="5"/>
      <c r="D215" s="5"/>
      <c r="E215" s="5"/>
      <c r="F215" s="5"/>
      <c r="G215" s="5"/>
      <c r="H215" s="5"/>
      <c r="I215" s="5"/>
      <c r="U215" s="5"/>
      <c r="V215" s="5"/>
      <c r="W215" s="5"/>
      <c r="AC215" s="5"/>
    </row>
    <row r="216" spans="2:29" ht="12.75">
      <c r="B216" s="5"/>
      <c r="C216" s="5"/>
      <c r="D216" s="5"/>
      <c r="E216" s="5"/>
      <c r="F216" s="5"/>
      <c r="G216" s="5"/>
      <c r="H216" s="5"/>
      <c r="I216" s="5"/>
      <c r="U216" s="5"/>
      <c r="V216" s="5"/>
      <c r="W216" s="5"/>
      <c r="AC216" s="5"/>
    </row>
    <row r="217" spans="2:29" ht="12.75">
      <c r="B217" s="5"/>
      <c r="C217" s="5"/>
      <c r="D217" s="5"/>
      <c r="E217" s="5"/>
      <c r="F217" s="5"/>
      <c r="G217" s="5"/>
      <c r="H217" s="5"/>
      <c r="I217" s="5"/>
      <c r="U217" s="5"/>
      <c r="V217" s="5"/>
      <c r="W217" s="5"/>
      <c r="AC217" s="5"/>
    </row>
    <row r="218" spans="2:29" ht="12.75">
      <c r="B218" s="5"/>
      <c r="C218" s="5"/>
      <c r="D218" s="5"/>
      <c r="E218" s="5"/>
      <c r="F218" s="5"/>
      <c r="G218" s="5"/>
      <c r="H218" s="5"/>
      <c r="I218" s="5"/>
      <c r="U218" s="5"/>
      <c r="V218" s="5"/>
      <c r="W218" s="5"/>
      <c r="AC218" s="5"/>
    </row>
    <row r="219" spans="2:29" ht="12.75">
      <c r="B219" s="5"/>
      <c r="C219" s="5"/>
      <c r="D219" s="5"/>
      <c r="E219" s="5"/>
      <c r="F219" s="5"/>
      <c r="G219" s="5"/>
      <c r="H219" s="5"/>
      <c r="I219" s="5"/>
      <c r="U219" s="5"/>
      <c r="V219" s="5"/>
      <c r="W219" s="5"/>
      <c r="AC219" s="5"/>
    </row>
    <row r="220" spans="2:29" ht="12.75">
      <c r="B220" s="5"/>
      <c r="C220" s="5"/>
      <c r="D220" s="5"/>
      <c r="E220" s="5"/>
      <c r="F220" s="5"/>
      <c r="G220" s="5"/>
      <c r="H220" s="5"/>
      <c r="I220" s="5"/>
      <c r="U220" s="5"/>
      <c r="V220" s="5"/>
      <c r="W220" s="5"/>
      <c r="AC220" s="5"/>
    </row>
    <row r="221" spans="2:29" ht="12.75">
      <c r="B221" s="5"/>
      <c r="C221" s="5"/>
      <c r="D221" s="5"/>
      <c r="E221" s="5"/>
      <c r="F221" s="5"/>
      <c r="G221" s="5"/>
      <c r="H221" s="5"/>
      <c r="I221" s="5"/>
      <c r="U221" s="5"/>
      <c r="V221" s="5"/>
      <c r="W221" s="5"/>
      <c r="AC221" s="5"/>
    </row>
    <row r="222" spans="2:29" ht="12.75">
      <c r="B222" s="5"/>
      <c r="C222" s="5"/>
      <c r="D222" s="5"/>
      <c r="E222" s="5"/>
      <c r="F222" s="5"/>
      <c r="G222" s="5"/>
      <c r="H222" s="5"/>
      <c r="I222" s="5"/>
      <c r="U222" s="5"/>
      <c r="V222" s="5"/>
      <c r="W222" s="5"/>
      <c r="AC222" s="5"/>
    </row>
    <row r="223" spans="2:29" ht="12.75">
      <c r="B223" s="5"/>
      <c r="C223" s="5"/>
      <c r="D223" s="5"/>
      <c r="E223" s="5"/>
      <c r="F223" s="5"/>
      <c r="G223" s="5"/>
      <c r="H223" s="5"/>
      <c r="I223" s="5"/>
      <c r="U223" s="5"/>
      <c r="V223" s="5"/>
      <c r="W223" s="5"/>
      <c r="AC223" s="5"/>
    </row>
    <row r="224" spans="2:29" ht="12.75">
      <c r="B224" s="5"/>
      <c r="C224" s="5"/>
      <c r="D224" s="5"/>
      <c r="E224" s="5"/>
      <c r="F224" s="5"/>
      <c r="G224" s="5"/>
      <c r="H224" s="5"/>
      <c r="I224" s="5"/>
      <c r="U224" s="5"/>
      <c r="V224" s="5"/>
      <c r="W224" s="5"/>
      <c r="AC224" s="5"/>
    </row>
    <row r="225" spans="2:29" ht="12.75">
      <c r="B225" s="5"/>
      <c r="C225" s="5"/>
      <c r="D225" s="5"/>
      <c r="E225" s="5"/>
      <c r="F225" s="5"/>
      <c r="G225" s="5"/>
      <c r="H225" s="5"/>
      <c r="I225" s="5"/>
      <c r="U225" s="5"/>
      <c r="V225" s="5"/>
      <c r="W225" s="5"/>
      <c r="AC225" s="5"/>
    </row>
    <row r="226" spans="2:29" ht="12.75">
      <c r="B226" s="5"/>
      <c r="C226" s="5"/>
      <c r="D226" s="5"/>
      <c r="E226" s="5"/>
      <c r="F226" s="5"/>
      <c r="G226" s="5"/>
      <c r="H226" s="5"/>
      <c r="I226" s="5"/>
      <c r="U226" s="5"/>
      <c r="V226" s="5"/>
      <c r="W226" s="5"/>
      <c r="AC226" s="5"/>
    </row>
    <row r="227" spans="2:29" ht="12.75">
      <c r="B227" s="5"/>
      <c r="C227" s="5"/>
      <c r="D227" s="5"/>
      <c r="E227" s="5"/>
      <c r="F227" s="5"/>
      <c r="G227" s="5"/>
      <c r="H227" s="5"/>
      <c r="I227" s="5"/>
      <c r="U227" s="5"/>
      <c r="V227" s="5"/>
      <c r="W227" s="5"/>
      <c r="AC227" s="5"/>
    </row>
    <row r="228" spans="2:29" ht="12.75">
      <c r="B228" s="5"/>
      <c r="C228" s="5"/>
      <c r="D228" s="5"/>
      <c r="E228" s="5"/>
      <c r="F228" s="5"/>
      <c r="G228" s="5"/>
      <c r="H228" s="5"/>
      <c r="I228" s="5"/>
      <c r="U228" s="5"/>
      <c r="V228" s="5"/>
      <c r="W228" s="5"/>
      <c r="AC228" s="5"/>
    </row>
    <row r="229" spans="2:23" ht="12.75">
      <c r="B229" s="5"/>
      <c r="C229" s="5"/>
      <c r="D229" s="5"/>
      <c r="E229" s="5"/>
      <c r="F229" s="5"/>
      <c r="G229" s="5"/>
      <c r="H229" s="5"/>
      <c r="I229" s="5"/>
      <c r="U229" s="5"/>
      <c r="V229" s="5"/>
      <c r="W229" s="5"/>
    </row>
    <row r="230" spans="2:23" ht="12.75">
      <c r="B230" s="5"/>
      <c r="C230" s="5"/>
      <c r="D230" s="5"/>
      <c r="E230" s="5"/>
      <c r="F230" s="5"/>
      <c r="G230" s="5"/>
      <c r="H230" s="5"/>
      <c r="I230" s="5"/>
      <c r="U230" s="5"/>
      <c r="V230" s="5"/>
      <c r="W230" s="5"/>
    </row>
    <row r="231" spans="2:23" ht="12.75">
      <c r="B231" s="5"/>
      <c r="C231" s="5"/>
      <c r="D231" s="5"/>
      <c r="E231" s="5"/>
      <c r="F231" s="5"/>
      <c r="G231" s="5"/>
      <c r="H231" s="5"/>
      <c r="I231" s="5"/>
      <c r="U231" s="5"/>
      <c r="V231" s="5"/>
      <c r="W231" s="5"/>
    </row>
    <row r="232" spans="2:23" ht="12.75">
      <c r="B232" s="5"/>
      <c r="C232" s="5"/>
      <c r="D232" s="5"/>
      <c r="E232" s="5"/>
      <c r="F232" s="5"/>
      <c r="G232" s="5"/>
      <c r="H232" s="5"/>
      <c r="I232" s="5"/>
      <c r="U232" s="5"/>
      <c r="V232" s="5"/>
      <c r="W232" s="5"/>
    </row>
    <row r="233" spans="2:23" ht="12.75">
      <c r="B233" s="5"/>
      <c r="C233" s="5"/>
      <c r="D233" s="5"/>
      <c r="E233" s="5"/>
      <c r="F233" s="5"/>
      <c r="G233" s="5"/>
      <c r="H233" s="5"/>
      <c r="I233" s="5"/>
      <c r="U233" s="5"/>
      <c r="V233" s="5"/>
      <c r="W233" s="5"/>
    </row>
    <row r="234" spans="2:23" ht="12.75">
      <c r="B234" s="5"/>
      <c r="C234" s="5"/>
      <c r="D234" s="5"/>
      <c r="E234" s="5"/>
      <c r="F234" s="5"/>
      <c r="G234" s="5"/>
      <c r="H234" s="5"/>
      <c r="I234" s="5"/>
      <c r="U234" s="5"/>
      <c r="V234" s="5"/>
      <c r="W234" s="5"/>
    </row>
    <row r="235" spans="2:23" ht="12.75">
      <c r="B235" s="5"/>
      <c r="C235" s="5"/>
      <c r="D235" s="5"/>
      <c r="E235" s="5"/>
      <c r="F235" s="5"/>
      <c r="G235" s="5"/>
      <c r="H235" s="5"/>
      <c r="I235" s="5"/>
      <c r="U235" s="5"/>
      <c r="V235" s="5"/>
      <c r="W235" s="5"/>
    </row>
    <row r="236" spans="2:23" ht="12.75">
      <c r="B236" s="5"/>
      <c r="C236" s="5"/>
      <c r="D236" s="5"/>
      <c r="E236" s="5"/>
      <c r="F236" s="5"/>
      <c r="G236" s="5"/>
      <c r="H236" s="5"/>
      <c r="I236" s="5"/>
      <c r="U236" s="5"/>
      <c r="V236" s="5"/>
      <c r="W236" s="5"/>
    </row>
    <row r="237" spans="2:23" ht="12.75">
      <c r="B237" s="5"/>
      <c r="C237" s="5"/>
      <c r="D237" s="5"/>
      <c r="E237" s="5"/>
      <c r="F237" s="5"/>
      <c r="G237" s="5"/>
      <c r="H237" s="5"/>
      <c r="I237" s="5"/>
      <c r="U237" s="5"/>
      <c r="V237" s="5"/>
      <c r="W237" s="5"/>
    </row>
    <row r="238" spans="2:23" ht="12.75">
      <c r="B238" s="5"/>
      <c r="C238" s="5"/>
      <c r="D238" s="5"/>
      <c r="E238" s="5"/>
      <c r="F238" s="5"/>
      <c r="G238" s="5"/>
      <c r="H238" s="5"/>
      <c r="I238" s="5"/>
      <c r="U238" s="5"/>
      <c r="V238" s="5"/>
      <c r="W238" s="5"/>
    </row>
    <row r="239" spans="2:23" ht="12.75">
      <c r="B239" s="5"/>
      <c r="C239" s="5"/>
      <c r="D239" s="5"/>
      <c r="E239" s="5"/>
      <c r="F239" s="5"/>
      <c r="G239" s="5"/>
      <c r="H239" s="5"/>
      <c r="I239" s="5"/>
      <c r="U239" s="5"/>
      <c r="V239" s="5"/>
      <c r="W239" s="5"/>
    </row>
    <row r="240" spans="2:23" ht="12.75">
      <c r="B240" s="5"/>
      <c r="C240" s="5"/>
      <c r="D240" s="5"/>
      <c r="E240" s="5"/>
      <c r="F240" s="5"/>
      <c r="G240" s="5"/>
      <c r="H240" s="5"/>
      <c r="I240" s="5"/>
      <c r="U240" s="5"/>
      <c r="V240" s="5"/>
      <c r="W240" s="5"/>
    </row>
    <row r="241" spans="2:23" ht="12.75">
      <c r="B241" s="5"/>
      <c r="C241" s="5"/>
      <c r="D241" s="5"/>
      <c r="E241" s="5"/>
      <c r="F241" s="5"/>
      <c r="G241" s="5"/>
      <c r="H241" s="5"/>
      <c r="I241" s="5"/>
      <c r="U241" s="5"/>
      <c r="V241" s="5"/>
      <c r="W241" s="5"/>
    </row>
    <row r="242" spans="2:23" ht="12.75">
      <c r="B242" s="5"/>
      <c r="C242" s="5"/>
      <c r="D242" s="5"/>
      <c r="E242" s="5"/>
      <c r="F242" s="5"/>
      <c r="G242" s="5"/>
      <c r="H242" s="5"/>
      <c r="I242" s="5"/>
      <c r="U242" s="5"/>
      <c r="V242" s="5"/>
      <c r="W242" s="5"/>
    </row>
    <row r="243" spans="2:23" ht="12.75">
      <c r="B243" s="5"/>
      <c r="C243" s="5"/>
      <c r="D243" s="5"/>
      <c r="E243" s="5"/>
      <c r="F243" s="5"/>
      <c r="G243" s="5"/>
      <c r="H243" s="5"/>
      <c r="I243" s="5"/>
      <c r="U243" s="5"/>
      <c r="V243" s="5"/>
      <c r="W243" s="5"/>
    </row>
    <row r="244" spans="2:23" ht="12.75">
      <c r="B244" s="5"/>
      <c r="C244" s="5"/>
      <c r="D244" s="5"/>
      <c r="E244" s="5"/>
      <c r="F244" s="5"/>
      <c r="G244" s="5"/>
      <c r="H244" s="5"/>
      <c r="I244" s="5"/>
      <c r="U244" s="5"/>
      <c r="V244" s="5"/>
      <c r="W244" s="5"/>
    </row>
    <row r="245" spans="2:23" ht="12.75">
      <c r="B245" s="5"/>
      <c r="C245" s="5"/>
      <c r="D245" s="5"/>
      <c r="E245" s="5"/>
      <c r="F245" s="5"/>
      <c r="G245" s="5"/>
      <c r="H245" s="5"/>
      <c r="I245" s="5"/>
      <c r="U245" s="5"/>
      <c r="V245" s="5"/>
      <c r="W245" s="5"/>
    </row>
    <row r="246" spans="2:23" ht="12.75">
      <c r="B246" s="5"/>
      <c r="C246" s="5"/>
      <c r="D246" s="5"/>
      <c r="E246" s="5"/>
      <c r="F246" s="5"/>
      <c r="G246" s="5"/>
      <c r="H246" s="5"/>
      <c r="I246" s="5"/>
      <c r="U246" s="5"/>
      <c r="V246" s="5"/>
      <c r="W246" s="5"/>
    </row>
    <row r="247" spans="2:23" ht="12.75">
      <c r="B247" s="5"/>
      <c r="C247" s="5"/>
      <c r="D247" s="5"/>
      <c r="E247" s="5"/>
      <c r="F247" s="5"/>
      <c r="G247" s="5"/>
      <c r="H247" s="5"/>
      <c r="I247" s="5"/>
      <c r="U247" s="5"/>
      <c r="V247" s="5"/>
      <c r="W247" s="5"/>
    </row>
    <row r="248" spans="2:23" ht="12.75">
      <c r="B248" s="5"/>
      <c r="C248" s="5"/>
      <c r="D248" s="5"/>
      <c r="E248" s="5"/>
      <c r="F248" s="5"/>
      <c r="G248" s="5"/>
      <c r="H248" s="5"/>
      <c r="I248" s="5"/>
      <c r="U248" s="5"/>
      <c r="V248" s="5"/>
      <c r="W248" s="5"/>
    </row>
    <row r="249" spans="2:23" ht="12.75">
      <c r="B249" s="5"/>
      <c r="C249" s="5"/>
      <c r="D249" s="5"/>
      <c r="E249" s="5"/>
      <c r="F249" s="5"/>
      <c r="G249" s="5"/>
      <c r="H249" s="5"/>
      <c r="I249" s="5"/>
      <c r="U249" s="5"/>
      <c r="V249" s="5"/>
      <c r="W249" s="5"/>
    </row>
    <row r="250" spans="2:23" ht="12.75">
      <c r="B250" s="5"/>
      <c r="C250" s="5"/>
      <c r="D250" s="5"/>
      <c r="E250" s="5"/>
      <c r="F250" s="5"/>
      <c r="G250" s="5"/>
      <c r="H250" s="5"/>
      <c r="I250" s="5"/>
      <c r="U250" s="5"/>
      <c r="V250" s="5"/>
      <c r="W250" s="5"/>
    </row>
    <row r="251" spans="2:9" ht="12.75">
      <c r="B251" s="5"/>
      <c r="C251" s="5"/>
      <c r="D251" s="5"/>
      <c r="E251" s="5"/>
      <c r="F251" s="5"/>
      <c r="G251" s="5"/>
      <c r="H251" s="5"/>
      <c r="I251" s="5"/>
    </row>
    <row r="252" spans="2:9" ht="12.75">
      <c r="B252" s="5"/>
      <c r="C252" s="5"/>
      <c r="D252" s="5"/>
      <c r="E252" s="5"/>
      <c r="F252" s="5"/>
      <c r="G252" s="5"/>
      <c r="H252" s="5"/>
      <c r="I252" s="5"/>
    </row>
    <row r="253" spans="2:9" ht="12.75">
      <c r="B253" s="5"/>
      <c r="C253" s="5"/>
      <c r="D253" s="5"/>
      <c r="E253" s="5"/>
      <c r="F253" s="5"/>
      <c r="G253" s="5"/>
      <c r="H253" s="5"/>
      <c r="I253" s="5"/>
    </row>
    <row r="254" spans="2:9" ht="12.75">
      <c r="B254" s="5"/>
      <c r="C254" s="5"/>
      <c r="D254" s="5"/>
      <c r="E254" s="5"/>
      <c r="F254" s="5"/>
      <c r="G254" s="5"/>
      <c r="H254" s="5"/>
      <c r="I254" s="5"/>
    </row>
    <row r="255" spans="2:9" ht="12.75">
      <c r="B255" s="5"/>
      <c r="C255" s="5"/>
      <c r="D255" s="5"/>
      <c r="E255" s="5"/>
      <c r="F255" s="5"/>
      <c r="G255" s="5"/>
      <c r="H255" s="5"/>
      <c r="I255" s="5"/>
    </row>
    <row r="256" spans="2:9" ht="12.75">
      <c r="B256" s="5"/>
      <c r="C256" s="5"/>
      <c r="D256" s="5"/>
      <c r="E256" s="5"/>
      <c r="F256" s="5"/>
      <c r="G256" s="5"/>
      <c r="H256" s="5"/>
      <c r="I256" s="5"/>
    </row>
    <row r="257" spans="2:9" ht="12.75">
      <c r="B257" s="5"/>
      <c r="C257" s="5"/>
      <c r="D257" s="5"/>
      <c r="E257" s="5"/>
      <c r="F257" s="5"/>
      <c r="G257" s="5"/>
      <c r="H257" s="5"/>
      <c r="I257" s="5"/>
    </row>
    <row r="258" spans="2:9" ht="12.75">
      <c r="B258" s="5"/>
      <c r="C258" s="5"/>
      <c r="D258" s="5"/>
      <c r="E258" s="5"/>
      <c r="F258" s="5"/>
      <c r="G258" s="5"/>
      <c r="H258" s="5"/>
      <c r="I258" s="5"/>
    </row>
    <row r="259" spans="2:9" ht="12.75">
      <c r="B259" s="5"/>
      <c r="C259" s="5"/>
      <c r="D259" s="5"/>
      <c r="E259" s="5"/>
      <c r="F259" s="5"/>
      <c r="G259" s="5"/>
      <c r="H259" s="5"/>
      <c r="I259" s="5"/>
    </row>
    <row r="260" spans="2:9" ht="12.75">
      <c r="B260" s="5"/>
      <c r="C260" s="5"/>
      <c r="D260" s="5"/>
      <c r="E260" s="5"/>
      <c r="F260" s="5"/>
      <c r="G260" s="5"/>
      <c r="H260" s="5"/>
      <c r="I260" s="5"/>
    </row>
    <row r="261" spans="2:9" ht="12.75">
      <c r="B261" s="5"/>
      <c r="C261" s="5"/>
      <c r="D261" s="5"/>
      <c r="E261" s="5"/>
      <c r="F261" s="5"/>
      <c r="G261" s="5"/>
      <c r="H261" s="5"/>
      <c r="I261" s="5"/>
    </row>
    <row r="262" spans="2:9" ht="12.75">
      <c r="B262" s="5"/>
      <c r="C262" s="5"/>
      <c r="D262" s="5"/>
      <c r="E262" s="5"/>
      <c r="F262" s="5"/>
      <c r="G262" s="5"/>
      <c r="H262" s="5"/>
      <c r="I262" s="5"/>
    </row>
    <row r="263" spans="2:9" ht="12.75">
      <c r="B263" s="5"/>
      <c r="C263" s="5"/>
      <c r="D263" s="5"/>
      <c r="E263" s="5"/>
      <c r="F263" s="5"/>
      <c r="G263" s="5"/>
      <c r="H263" s="5"/>
      <c r="I263" s="5"/>
    </row>
    <row r="264" spans="2:9" ht="12.75">
      <c r="B264" s="5"/>
      <c r="C264" s="5"/>
      <c r="D264" s="5"/>
      <c r="E264" s="5"/>
      <c r="F264" s="5"/>
      <c r="G264" s="5"/>
      <c r="H264" s="5"/>
      <c r="I264" s="5"/>
    </row>
    <row r="265" spans="2:9" ht="12.75">
      <c r="B265" s="5"/>
      <c r="C265" s="5"/>
      <c r="D265" s="5"/>
      <c r="E265" s="5"/>
      <c r="F265" s="5"/>
      <c r="G265" s="5"/>
      <c r="H265" s="5"/>
      <c r="I265" s="5"/>
    </row>
    <row r="266" spans="2:9" ht="12.75">
      <c r="B266" s="5"/>
      <c r="C266" s="5"/>
      <c r="D266" s="5"/>
      <c r="E266" s="5"/>
      <c r="F266" s="5"/>
      <c r="G266" s="5"/>
      <c r="H266" s="5"/>
      <c r="I266" s="5"/>
    </row>
    <row r="267" spans="2:9" ht="12.75">
      <c r="B267" s="5"/>
      <c r="C267" s="5"/>
      <c r="D267" s="5"/>
      <c r="E267" s="5"/>
      <c r="F267" s="5"/>
      <c r="G267" s="5"/>
      <c r="H267" s="5"/>
      <c r="I267" s="5"/>
    </row>
    <row r="268" spans="2:9" ht="12.75">
      <c r="B268" s="5"/>
      <c r="C268" s="5"/>
      <c r="D268" s="5"/>
      <c r="E268" s="5"/>
      <c r="F268" s="5"/>
      <c r="G268" s="5"/>
      <c r="H268" s="5"/>
      <c r="I268" s="5"/>
    </row>
    <row r="269" spans="2:9" ht="12.75">
      <c r="B269" s="5"/>
      <c r="C269" s="5"/>
      <c r="D269" s="5"/>
      <c r="E269" s="5"/>
      <c r="F269" s="5"/>
      <c r="G269" s="5"/>
      <c r="H269" s="5"/>
      <c r="I269" s="5"/>
    </row>
    <row r="270" spans="2:9" ht="12.75">
      <c r="B270" s="5"/>
      <c r="C270" s="5"/>
      <c r="D270" s="5"/>
      <c r="E270" s="5"/>
      <c r="F270" s="5"/>
      <c r="G270" s="5"/>
      <c r="H270" s="5"/>
      <c r="I270" s="5"/>
    </row>
    <row r="271" spans="2:9" ht="12.75">
      <c r="B271" s="5"/>
      <c r="C271" s="5"/>
      <c r="D271" s="5"/>
      <c r="E271" s="5"/>
      <c r="F271" s="5"/>
      <c r="G271" s="5"/>
      <c r="H271" s="5"/>
      <c r="I271" s="5"/>
    </row>
    <row r="272" spans="2:9" ht="12.75">
      <c r="B272" s="5"/>
      <c r="C272" s="5"/>
      <c r="D272" s="5"/>
      <c r="E272" s="5"/>
      <c r="F272" s="5"/>
      <c r="G272" s="5"/>
      <c r="H272" s="5"/>
      <c r="I272" s="5"/>
    </row>
    <row r="273" spans="2:9" ht="12.75">
      <c r="B273" s="5"/>
      <c r="C273" s="5"/>
      <c r="D273" s="5"/>
      <c r="E273" s="5"/>
      <c r="F273" s="5"/>
      <c r="G273" s="5"/>
      <c r="H273" s="5"/>
      <c r="I273" s="5"/>
    </row>
    <row r="274" spans="2:9" ht="12.75">
      <c r="B274" s="5"/>
      <c r="C274" s="5"/>
      <c r="D274" s="5"/>
      <c r="E274" s="5"/>
      <c r="F274" s="5"/>
      <c r="G274" s="5"/>
      <c r="H274" s="5"/>
      <c r="I274" s="5"/>
    </row>
    <row r="275" spans="2:9" ht="12.75">
      <c r="B275" s="5"/>
      <c r="C275" s="5"/>
      <c r="D275" s="5"/>
      <c r="E275" s="5"/>
      <c r="F275" s="5"/>
      <c r="G275" s="5"/>
      <c r="H275" s="5"/>
      <c r="I275" s="5"/>
    </row>
    <row r="276" spans="2:9" ht="12.75">
      <c r="B276" s="5"/>
      <c r="C276" s="5"/>
      <c r="D276" s="5"/>
      <c r="E276" s="5"/>
      <c r="F276" s="5"/>
      <c r="G276" s="5"/>
      <c r="H276" s="5"/>
      <c r="I276" s="5"/>
    </row>
    <row r="277" spans="2:9" ht="12.75">
      <c r="B277" s="5"/>
      <c r="C277" s="5"/>
      <c r="D277" s="5"/>
      <c r="E277" s="5"/>
      <c r="F277" s="5"/>
      <c r="G277" s="5"/>
      <c r="H277" s="5"/>
      <c r="I277" s="5"/>
    </row>
    <row r="278" spans="2:9" ht="12.75">
      <c r="B278" s="5"/>
      <c r="C278" s="5"/>
      <c r="D278" s="5"/>
      <c r="E278" s="5"/>
      <c r="F278" s="5"/>
      <c r="G278" s="5"/>
      <c r="H278" s="5"/>
      <c r="I278" s="5"/>
    </row>
    <row r="279" spans="2:9" ht="12.75">
      <c r="B279" s="5"/>
      <c r="C279" s="5"/>
      <c r="D279" s="5"/>
      <c r="E279" s="5"/>
      <c r="F279" s="5"/>
      <c r="G279" s="5"/>
      <c r="H279" s="5"/>
      <c r="I279" s="5"/>
    </row>
    <row r="280" spans="2:9" ht="12.75">
      <c r="B280" s="5"/>
      <c r="C280" s="5"/>
      <c r="D280" s="5"/>
      <c r="E280" s="5"/>
      <c r="F280" s="5"/>
      <c r="G280" s="5"/>
      <c r="H280" s="5"/>
      <c r="I280" s="5"/>
    </row>
    <row r="281" spans="2:9" ht="12.75">
      <c r="B281" s="5"/>
      <c r="C281" s="5"/>
      <c r="D281" s="5"/>
      <c r="E281" s="5"/>
      <c r="F281" s="5"/>
      <c r="G281" s="5"/>
      <c r="H281" s="5"/>
      <c r="I281" s="5"/>
    </row>
    <row r="282" spans="2:9" ht="12.75">
      <c r="B282" s="5"/>
      <c r="C282" s="5"/>
      <c r="D282" s="5"/>
      <c r="E282" s="5"/>
      <c r="F282" s="5"/>
      <c r="G282" s="5"/>
      <c r="H282" s="5"/>
      <c r="I282" s="5"/>
    </row>
    <row r="283" spans="2:9" ht="12.75">
      <c r="B283" s="5"/>
      <c r="C283" s="5"/>
      <c r="D283" s="5"/>
      <c r="E283" s="5"/>
      <c r="F283" s="5"/>
      <c r="G283" s="5"/>
      <c r="H283" s="5"/>
      <c r="I283" s="5"/>
    </row>
    <row r="284" spans="2:9" ht="12.75">
      <c r="B284" s="5"/>
      <c r="C284" s="5"/>
      <c r="D284" s="5"/>
      <c r="E284" s="5"/>
      <c r="F284" s="5"/>
      <c r="G284" s="5"/>
      <c r="H284" s="5"/>
      <c r="I284" s="5"/>
    </row>
    <row r="285" spans="2:9" ht="12.75">
      <c r="B285" s="5"/>
      <c r="C285" s="5"/>
      <c r="D285" s="5"/>
      <c r="E285" s="5"/>
      <c r="F285" s="5"/>
      <c r="G285" s="5"/>
      <c r="H285" s="5"/>
      <c r="I285" s="5"/>
    </row>
    <row r="286" spans="2:9" ht="12.75">
      <c r="B286" s="5"/>
      <c r="C286" s="5"/>
      <c r="D286" s="5"/>
      <c r="E286" s="5"/>
      <c r="F286" s="5"/>
      <c r="G286" s="5"/>
      <c r="H286" s="5"/>
      <c r="I286" s="5"/>
    </row>
    <row r="287" spans="2:9" ht="12.75">
      <c r="B287" s="5"/>
      <c r="C287" s="5"/>
      <c r="D287" s="5"/>
      <c r="E287" s="5"/>
      <c r="F287" s="5"/>
      <c r="G287" s="5"/>
      <c r="H287" s="5"/>
      <c r="I287" s="5"/>
    </row>
    <row r="288" spans="2:9" ht="12.75">
      <c r="B288" s="5"/>
      <c r="C288" s="5"/>
      <c r="D288" s="5"/>
      <c r="E288" s="5"/>
      <c r="F288" s="5"/>
      <c r="G288" s="5"/>
      <c r="H288" s="5"/>
      <c r="I288" s="5"/>
    </row>
    <row r="289" spans="2:9" ht="12.75">
      <c r="B289" s="5"/>
      <c r="C289" s="5"/>
      <c r="D289" s="5"/>
      <c r="E289" s="5"/>
      <c r="F289" s="5"/>
      <c r="G289" s="5"/>
      <c r="H289" s="5"/>
      <c r="I289" s="5"/>
    </row>
    <row r="290" spans="2:9" ht="12.75">
      <c r="B290" s="5"/>
      <c r="C290" s="5"/>
      <c r="D290" s="5"/>
      <c r="E290" s="5"/>
      <c r="F290" s="5"/>
      <c r="G290" s="5"/>
      <c r="H290" s="5"/>
      <c r="I290" s="5"/>
    </row>
    <row r="291" spans="2:9" ht="12.75">
      <c r="B291" s="5"/>
      <c r="C291" s="5"/>
      <c r="D291" s="5"/>
      <c r="E291" s="5"/>
      <c r="F291" s="5"/>
      <c r="G291" s="5"/>
      <c r="H291" s="5"/>
      <c r="I291" s="5"/>
    </row>
    <row r="292" spans="2:9" ht="12.75">
      <c r="B292" s="5"/>
      <c r="C292" s="5"/>
      <c r="D292" s="5"/>
      <c r="E292" s="5"/>
      <c r="F292" s="5"/>
      <c r="G292" s="5"/>
      <c r="H292" s="5"/>
      <c r="I292" s="5"/>
    </row>
    <row r="293" spans="2:9" ht="12.75">
      <c r="B293" s="5"/>
      <c r="C293" s="5"/>
      <c r="D293" s="5"/>
      <c r="E293" s="5"/>
      <c r="F293" s="5"/>
      <c r="G293" s="5"/>
      <c r="H293" s="5"/>
      <c r="I293" s="5"/>
    </row>
    <row r="294" spans="2:9" ht="12.75">
      <c r="B294" s="5"/>
      <c r="C294" s="5"/>
      <c r="D294" s="5"/>
      <c r="E294" s="5"/>
      <c r="F294" s="5"/>
      <c r="G294" s="5"/>
      <c r="H294" s="5"/>
      <c r="I294" s="5"/>
    </row>
    <row r="295" spans="2:9" ht="12.75">
      <c r="B295" s="5"/>
      <c r="C295" s="5"/>
      <c r="D295" s="5"/>
      <c r="E295" s="5"/>
      <c r="F295" s="5"/>
      <c r="G295" s="5"/>
      <c r="H295" s="5"/>
      <c r="I295" s="5"/>
    </row>
    <row r="296" spans="2:9" ht="12.75">
      <c r="B296" s="5"/>
      <c r="C296" s="5"/>
      <c r="D296" s="5"/>
      <c r="E296" s="5"/>
      <c r="F296" s="5"/>
      <c r="G296" s="5"/>
      <c r="H296" s="5"/>
      <c r="I296" s="5"/>
    </row>
    <row r="297" spans="2:9" ht="12.75">
      <c r="B297" s="5"/>
      <c r="C297" s="5"/>
      <c r="D297" s="5"/>
      <c r="E297" s="5"/>
      <c r="F297" s="5"/>
      <c r="G297" s="5"/>
      <c r="H297" s="5"/>
      <c r="I297" s="5"/>
    </row>
    <row r="298" spans="2:9" ht="12.75">
      <c r="B298" s="5"/>
      <c r="C298" s="5"/>
      <c r="D298" s="5"/>
      <c r="E298" s="5"/>
      <c r="F298" s="5"/>
      <c r="G298" s="5"/>
      <c r="H298" s="5"/>
      <c r="I298" s="5"/>
    </row>
    <row r="299" spans="2:9" ht="12.75">
      <c r="B299" s="5"/>
      <c r="C299" s="5"/>
      <c r="D299" s="5"/>
      <c r="E299" s="5"/>
      <c r="F299" s="5"/>
      <c r="G299" s="5"/>
      <c r="H299" s="5"/>
      <c r="I299" s="5"/>
    </row>
    <row r="300" spans="2:9" ht="12.75">
      <c r="B300" s="5"/>
      <c r="C300" s="5"/>
      <c r="D300" s="5"/>
      <c r="E300" s="5"/>
      <c r="F300" s="5"/>
      <c r="G300" s="5"/>
      <c r="H300" s="5"/>
      <c r="I300" s="5"/>
    </row>
    <row r="301" spans="2:9" ht="12.75">
      <c r="B301" s="5"/>
      <c r="C301" s="5"/>
      <c r="D301" s="5"/>
      <c r="E301" s="5"/>
      <c r="F301" s="5"/>
      <c r="G301" s="5"/>
      <c r="H301" s="5"/>
      <c r="I301" s="5"/>
    </row>
    <row r="302" spans="2:9" ht="12.75">
      <c r="B302" s="5"/>
      <c r="C302" s="5"/>
      <c r="D302" s="5"/>
      <c r="E302" s="5"/>
      <c r="F302" s="5"/>
      <c r="G302" s="5"/>
      <c r="H302" s="5"/>
      <c r="I302" s="5"/>
    </row>
    <row r="303" spans="2:9" ht="12.75">
      <c r="B303" s="5"/>
      <c r="C303" s="5"/>
      <c r="D303" s="5"/>
      <c r="E303" s="5"/>
      <c r="F303" s="5"/>
      <c r="G303" s="5"/>
      <c r="H303" s="5"/>
      <c r="I303" s="5"/>
    </row>
    <row r="304" spans="2:9" ht="12.75">
      <c r="B304" s="5"/>
      <c r="C304" s="5"/>
      <c r="D304" s="5"/>
      <c r="E304" s="5"/>
      <c r="F304" s="5"/>
      <c r="G304" s="5"/>
      <c r="H304" s="5"/>
      <c r="I304" s="5"/>
    </row>
    <row r="305" spans="2:9" ht="12.75">
      <c r="B305" s="5"/>
      <c r="C305" s="5"/>
      <c r="D305" s="5"/>
      <c r="E305" s="5"/>
      <c r="F305" s="5"/>
      <c r="G305" s="5"/>
      <c r="H305" s="5"/>
      <c r="I305" s="5"/>
    </row>
    <row r="306" spans="2:9" ht="12.75">
      <c r="B306" s="5"/>
      <c r="C306" s="5"/>
      <c r="D306" s="5"/>
      <c r="E306" s="5"/>
      <c r="F306" s="5"/>
      <c r="G306" s="5"/>
      <c r="H306" s="5"/>
      <c r="I306" s="5"/>
    </row>
    <row r="307" spans="2:9" ht="12.75">
      <c r="B307" s="5"/>
      <c r="C307" s="5"/>
      <c r="D307" s="5"/>
      <c r="E307" s="5"/>
      <c r="F307" s="5"/>
      <c r="G307" s="5"/>
      <c r="H307" s="5"/>
      <c r="I307" s="5"/>
    </row>
    <row r="308" spans="2:9" ht="12.75">
      <c r="B308" s="5"/>
      <c r="C308" s="5"/>
      <c r="D308" s="5"/>
      <c r="E308" s="5"/>
      <c r="F308" s="5"/>
      <c r="G308" s="5"/>
      <c r="H308" s="5"/>
      <c r="I308" s="5"/>
    </row>
    <row r="309" spans="2:9" ht="12.75">
      <c r="B309" s="5"/>
      <c r="C309" s="5"/>
      <c r="D309" s="5"/>
      <c r="E309" s="5"/>
      <c r="F309" s="5"/>
      <c r="G309" s="5"/>
      <c r="H309" s="5"/>
      <c r="I309" s="5"/>
    </row>
    <row r="310" spans="2:9" ht="12.75">
      <c r="B310" s="5"/>
      <c r="C310" s="5"/>
      <c r="D310" s="5"/>
      <c r="E310" s="5"/>
      <c r="F310" s="5"/>
      <c r="G310" s="5"/>
      <c r="H310" s="5"/>
      <c r="I310" s="5"/>
    </row>
    <row r="311" spans="2:9" ht="12.75">
      <c r="B311" s="5"/>
      <c r="C311" s="5"/>
      <c r="D311" s="5"/>
      <c r="E311" s="5"/>
      <c r="F311" s="5"/>
      <c r="G311" s="5"/>
      <c r="H311" s="5"/>
      <c r="I311" s="5"/>
    </row>
    <row r="312" spans="2:9" ht="12.75">
      <c r="B312" s="5"/>
      <c r="C312" s="5"/>
      <c r="D312" s="5"/>
      <c r="E312" s="5"/>
      <c r="F312" s="5"/>
      <c r="G312" s="5"/>
      <c r="H312" s="5"/>
      <c r="I312" s="5"/>
    </row>
    <row r="313" spans="2:9" ht="12.75">
      <c r="B313" s="5"/>
      <c r="C313" s="5"/>
      <c r="D313" s="5"/>
      <c r="E313" s="5"/>
      <c r="F313" s="5"/>
      <c r="G313" s="5"/>
      <c r="H313" s="5"/>
      <c r="I313" s="5"/>
    </row>
    <row r="314" spans="2:9" ht="12.75">
      <c r="B314" s="5"/>
      <c r="C314" s="5"/>
      <c r="D314" s="5"/>
      <c r="E314" s="5"/>
      <c r="F314" s="5"/>
      <c r="G314" s="5"/>
      <c r="H314" s="5"/>
      <c r="I314" s="5"/>
    </row>
    <row r="315" spans="2:9" ht="12.75">
      <c r="B315" s="5"/>
      <c r="C315" s="5"/>
      <c r="D315" s="5"/>
      <c r="E315" s="5"/>
      <c r="F315" s="5"/>
      <c r="G315" s="5"/>
      <c r="H315" s="5"/>
      <c r="I315" s="5"/>
    </row>
    <row r="316" spans="2:9" ht="12.75">
      <c r="B316" s="5"/>
      <c r="C316" s="5"/>
      <c r="D316" s="5"/>
      <c r="E316" s="5"/>
      <c r="F316" s="5"/>
      <c r="G316" s="5"/>
      <c r="H316" s="5"/>
      <c r="I316" s="5"/>
    </row>
    <row r="317" spans="2:9" ht="12.75">
      <c r="B317" s="5"/>
      <c r="C317" s="5"/>
      <c r="D317" s="5"/>
      <c r="E317" s="5"/>
      <c r="F317" s="5"/>
      <c r="G317" s="5"/>
      <c r="H317" s="5"/>
      <c r="I317" s="5"/>
    </row>
    <row r="318" spans="2:9" ht="12.75">
      <c r="B318" s="5"/>
      <c r="C318" s="5"/>
      <c r="D318" s="5"/>
      <c r="E318" s="5"/>
      <c r="F318" s="5"/>
      <c r="G318" s="5"/>
      <c r="H318" s="5"/>
      <c r="I318" s="5"/>
    </row>
    <row r="319" spans="2:9" ht="12.75">
      <c r="B319" s="5"/>
      <c r="C319" s="5"/>
      <c r="D319" s="5"/>
      <c r="E319" s="5"/>
      <c r="F319" s="5"/>
      <c r="G319" s="5"/>
      <c r="H319" s="5"/>
      <c r="I319" s="5"/>
    </row>
    <row r="320" spans="2:9" ht="12.75">
      <c r="B320" s="5"/>
      <c r="C320" s="5"/>
      <c r="D320" s="5"/>
      <c r="E320" s="5"/>
      <c r="F320" s="5"/>
      <c r="G320" s="5"/>
      <c r="H320" s="5"/>
      <c r="I320" s="5"/>
    </row>
    <row r="321" spans="2:9" ht="12.75">
      <c r="B321" s="5"/>
      <c r="C321" s="5"/>
      <c r="D321" s="5"/>
      <c r="E321" s="5"/>
      <c r="F321" s="5"/>
      <c r="G321" s="5"/>
      <c r="H321" s="5"/>
      <c r="I321" s="5"/>
    </row>
    <row r="322" spans="2:9" ht="12.75">
      <c r="B322" s="5"/>
      <c r="C322" s="5"/>
      <c r="D322" s="5"/>
      <c r="E322" s="5"/>
      <c r="F322" s="5"/>
      <c r="G322" s="5"/>
      <c r="H322" s="5"/>
      <c r="I322" s="5"/>
    </row>
    <row r="323" spans="2:9" ht="12.75">
      <c r="B323" s="5"/>
      <c r="C323" s="5"/>
      <c r="D323" s="5"/>
      <c r="E323" s="5"/>
      <c r="F323" s="5"/>
      <c r="G323" s="5"/>
      <c r="H323" s="5"/>
      <c r="I323" s="5"/>
    </row>
    <row r="324" spans="2:9" ht="12.75">
      <c r="B324" s="5"/>
      <c r="C324" s="5"/>
      <c r="D324" s="5"/>
      <c r="E324" s="5"/>
      <c r="F324" s="5"/>
      <c r="G324" s="5"/>
      <c r="H324" s="5"/>
      <c r="I324" s="5"/>
    </row>
    <row r="325" spans="2:9" ht="12.75">
      <c r="B325" s="5"/>
      <c r="C325" s="5"/>
      <c r="D325" s="5"/>
      <c r="E325" s="5"/>
      <c r="F325" s="5"/>
      <c r="G325" s="5"/>
      <c r="H325" s="5"/>
      <c r="I325" s="5"/>
    </row>
    <row r="326" spans="2:9" ht="12.75">
      <c r="B326" s="5"/>
      <c r="C326" s="5"/>
      <c r="D326" s="5"/>
      <c r="E326" s="5"/>
      <c r="F326" s="5"/>
      <c r="G326" s="5"/>
      <c r="H326" s="5"/>
      <c r="I326" s="5"/>
    </row>
    <row r="327" spans="2:9" ht="12.75">
      <c r="B327" s="5"/>
      <c r="C327" s="5"/>
      <c r="D327" s="5"/>
      <c r="E327" s="5"/>
      <c r="F327" s="5"/>
      <c r="G327" s="5"/>
      <c r="H327" s="5"/>
      <c r="I327" s="5"/>
    </row>
    <row r="328" spans="2:9" ht="12.75">
      <c r="B328" s="5"/>
      <c r="C328" s="5"/>
      <c r="D328" s="5"/>
      <c r="E328" s="5"/>
      <c r="F328" s="5"/>
      <c r="G328" s="5"/>
      <c r="H328" s="5"/>
      <c r="I328" s="5"/>
    </row>
    <row r="329" spans="2:9" ht="12.75">
      <c r="B329" s="5"/>
      <c r="C329" s="5"/>
      <c r="D329" s="5"/>
      <c r="E329" s="5"/>
      <c r="F329" s="5"/>
      <c r="G329" s="5"/>
      <c r="H329" s="5"/>
      <c r="I329" s="5"/>
    </row>
    <row r="330" spans="2:9" ht="12.75">
      <c r="B330" s="5"/>
      <c r="C330" s="5"/>
      <c r="D330" s="5"/>
      <c r="E330" s="5"/>
      <c r="F330" s="5"/>
      <c r="G330" s="5"/>
      <c r="H330" s="5"/>
      <c r="I330" s="5"/>
    </row>
    <row r="331" spans="2:9" ht="12.75">
      <c r="B331" s="5"/>
      <c r="C331" s="5"/>
      <c r="D331" s="5"/>
      <c r="E331" s="5"/>
      <c r="F331" s="5"/>
      <c r="G331" s="5"/>
      <c r="H331" s="5"/>
      <c r="I331" s="5"/>
    </row>
    <row r="332" spans="2:9" ht="12.75">
      <c r="B332" s="5"/>
      <c r="C332" s="5"/>
      <c r="D332" s="5"/>
      <c r="E332" s="5"/>
      <c r="F332" s="5"/>
      <c r="G332" s="5"/>
      <c r="H332" s="5"/>
      <c r="I332" s="5"/>
    </row>
    <row r="333" spans="2:9" ht="12.75">
      <c r="B333" s="5"/>
      <c r="C333" s="5"/>
      <c r="D333" s="5"/>
      <c r="E333" s="5"/>
      <c r="F333" s="5"/>
      <c r="G333" s="5"/>
      <c r="H333" s="5"/>
      <c r="I333" s="5"/>
    </row>
    <row r="334" spans="2:9" ht="12.75">
      <c r="B334" s="5"/>
      <c r="C334" s="5"/>
      <c r="D334" s="5"/>
      <c r="E334" s="5"/>
      <c r="F334" s="5"/>
      <c r="G334" s="5"/>
      <c r="H334" s="5"/>
      <c r="I334" s="5"/>
    </row>
    <row r="335" spans="2:9" ht="12.75">
      <c r="B335" s="5"/>
      <c r="C335" s="5"/>
      <c r="D335" s="5"/>
      <c r="E335" s="5"/>
      <c r="F335" s="5"/>
      <c r="G335" s="5"/>
      <c r="H335" s="5"/>
      <c r="I335" s="5"/>
    </row>
    <row r="336" spans="2:9" ht="12.75">
      <c r="B336" s="5"/>
      <c r="C336" s="5"/>
      <c r="D336" s="5"/>
      <c r="E336" s="5"/>
      <c r="F336" s="5"/>
      <c r="G336" s="5"/>
      <c r="H336" s="5"/>
      <c r="I336" s="5"/>
    </row>
    <row r="337" spans="2:9" ht="12.75">
      <c r="B337" s="5"/>
      <c r="C337" s="5"/>
      <c r="D337" s="5"/>
      <c r="E337" s="5"/>
      <c r="F337" s="5"/>
      <c r="G337" s="5"/>
      <c r="H337" s="5"/>
      <c r="I337" s="5"/>
    </row>
    <row r="338" spans="2:9" ht="12.75">
      <c r="B338" s="5"/>
      <c r="C338" s="5"/>
      <c r="D338" s="5"/>
      <c r="E338" s="5"/>
      <c r="F338" s="5"/>
      <c r="G338" s="5"/>
      <c r="H338" s="5"/>
      <c r="I338" s="5"/>
    </row>
    <row r="339" spans="2:9" ht="12.75">
      <c r="B339" s="5"/>
      <c r="C339" s="5"/>
      <c r="D339" s="5"/>
      <c r="E339" s="5"/>
      <c r="F339" s="5"/>
      <c r="G339" s="5"/>
      <c r="H339" s="5"/>
      <c r="I339" s="5"/>
    </row>
    <row r="340" spans="2:9" ht="12.75">
      <c r="B340" s="5"/>
      <c r="C340" s="5"/>
      <c r="D340" s="5"/>
      <c r="E340" s="5"/>
      <c r="F340" s="5"/>
      <c r="G340" s="5"/>
      <c r="H340" s="5"/>
      <c r="I340" s="5"/>
    </row>
    <row r="341" spans="2:9" ht="12.75">
      <c r="B341" s="5"/>
      <c r="C341" s="5"/>
      <c r="D341" s="5"/>
      <c r="E341" s="5"/>
      <c r="F341" s="5"/>
      <c r="G341" s="5"/>
      <c r="H341" s="5"/>
      <c r="I341" s="5"/>
    </row>
    <row r="342" spans="2:9" ht="12.75">
      <c r="B342" s="5"/>
      <c r="C342" s="5"/>
      <c r="D342" s="5"/>
      <c r="E342" s="5"/>
      <c r="F342" s="5"/>
      <c r="G342" s="5"/>
      <c r="H342" s="5"/>
      <c r="I342" s="5"/>
    </row>
    <row r="343" spans="2:9" ht="12.75">
      <c r="B343" s="5"/>
      <c r="C343" s="5"/>
      <c r="D343" s="5"/>
      <c r="E343" s="5"/>
      <c r="F343" s="5"/>
      <c r="G343" s="5"/>
      <c r="H343" s="5"/>
      <c r="I343" s="5"/>
    </row>
    <row r="344" spans="2:9" ht="12.75">
      <c r="B344" s="5"/>
      <c r="C344" s="5"/>
      <c r="D344" s="5"/>
      <c r="E344" s="5"/>
      <c r="F344" s="5"/>
      <c r="G344" s="5"/>
      <c r="H344" s="5"/>
      <c r="I344" s="5"/>
    </row>
    <row r="345" spans="2:9" ht="12.75">
      <c r="B345" s="5"/>
      <c r="C345" s="5"/>
      <c r="D345" s="5"/>
      <c r="E345" s="5"/>
      <c r="F345" s="5"/>
      <c r="G345" s="5"/>
      <c r="H345" s="5"/>
      <c r="I345" s="5"/>
    </row>
    <row r="346" spans="2:9" ht="12.75">
      <c r="B346" s="5"/>
      <c r="C346" s="5"/>
      <c r="D346" s="5"/>
      <c r="E346" s="5"/>
      <c r="F346" s="5"/>
      <c r="G346" s="5"/>
      <c r="H346" s="5"/>
      <c r="I346" s="5"/>
    </row>
    <row r="347" spans="2:9" ht="12.75">
      <c r="B347" s="5"/>
      <c r="C347" s="5"/>
      <c r="D347" s="5"/>
      <c r="E347" s="5"/>
      <c r="F347" s="5"/>
      <c r="G347" s="5"/>
      <c r="H347" s="5"/>
      <c r="I347" s="5"/>
    </row>
    <row r="348" spans="2:9" ht="12.75">
      <c r="B348" s="5"/>
      <c r="C348" s="5"/>
      <c r="D348" s="5"/>
      <c r="E348" s="5"/>
      <c r="F348" s="5"/>
      <c r="G348" s="5"/>
      <c r="H348" s="5"/>
      <c r="I348" s="5"/>
    </row>
    <row r="349" spans="2:9" ht="12.75">
      <c r="B349" s="5"/>
      <c r="C349" s="5"/>
      <c r="D349" s="5"/>
      <c r="E349" s="5"/>
      <c r="F349" s="5"/>
      <c r="G349" s="5"/>
      <c r="H349" s="5"/>
      <c r="I349" s="5"/>
    </row>
    <row r="350" spans="2:9" ht="12.75">
      <c r="B350" s="5"/>
      <c r="C350" s="5"/>
      <c r="D350" s="5"/>
      <c r="E350" s="5"/>
      <c r="F350" s="5"/>
      <c r="G350" s="5"/>
      <c r="H350" s="5"/>
      <c r="I350" s="5"/>
    </row>
    <row r="351" spans="2:9" ht="12.75">
      <c r="B351" s="5"/>
      <c r="C351" s="5"/>
      <c r="D351" s="5"/>
      <c r="E351" s="5"/>
      <c r="F351" s="5"/>
      <c r="G351" s="5"/>
      <c r="H351" s="5"/>
      <c r="I351" s="5"/>
    </row>
    <row r="352" spans="2:9" ht="12.75">
      <c r="B352" s="5"/>
      <c r="C352" s="5"/>
      <c r="D352" s="5"/>
      <c r="E352" s="5"/>
      <c r="F352" s="5"/>
      <c r="G352" s="5"/>
      <c r="H352" s="5"/>
      <c r="I352" s="5"/>
    </row>
    <row r="353" spans="2:9" ht="12.75">
      <c r="B353" s="5"/>
      <c r="C353" s="5"/>
      <c r="D353" s="5"/>
      <c r="E353" s="5"/>
      <c r="F353" s="5"/>
      <c r="G353" s="5"/>
      <c r="H353" s="5"/>
      <c r="I353" s="5"/>
    </row>
    <row r="354" spans="2:9" ht="12.75">
      <c r="B354" s="5"/>
      <c r="C354" s="5"/>
      <c r="D354" s="5"/>
      <c r="E354" s="5"/>
      <c r="F354" s="5"/>
      <c r="G354" s="5"/>
      <c r="H354" s="5"/>
      <c r="I354" s="5"/>
    </row>
    <row r="355" spans="2:9" ht="12.75">
      <c r="B355" s="5"/>
      <c r="C355" s="5"/>
      <c r="D355" s="5"/>
      <c r="E355" s="5"/>
      <c r="F355" s="5"/>
      <c r="G355" s="5"/>
      <c r="H355" s="5"/>
      <c r="I355" s="5"/>
    </row>
    <row r="356" spans="2:9" ht="12.75">
      <c r="B356" s="5"/>
      <c r="C356" s="5"/>
      <c r="D356" s="5"/>
      <c r="E356" s="5"/>
      <c r="F356" s="5"/>
      <c r="G356" s="5"/>
      <c r="H356" s="5"/>
      <c r="I356" s="5"/>
    </row>
    <row r="357" spans="2:9" ht="12.75">
      <c r="B357" s="5"/>
      <c r="C357" s="5"/>
      <c r="D357" s="5"/>
      <c r="E357" s="5"/>
      <c r="F357" s="5"/>
      <c r="G357" s="5"/>
      <c r="H357" s="5"/>
      <c r="I357" s="5"/>
    </row>
    <row r="358" spans="2:9" ht="12.75">
      <c r="B358" s="5"/>
      <c r="C358" s="5"/>
      <c r="D358" s="5"/>
      <c r="E358" s="5"/>
      <c r="F358" s="5"/>
      <c r="G358" s="5"/>
      <c r="H358" s="5"/>
      <c r="I358" s="5"/>
    </row>
    <row r="359" spans="2:9" ht="12.75">
      <c r="B359" s="5"/>
      <c r="C359" s="5"/>
      <c r="D359" s="5"/>
      <c r="E359" s="5"/>
      <c r="G359" s="5"/>
      <c r="H359" s="5"/>
      <c r="I359" s="5"/>
    </row>
    <row r="360" spans="2:9" ht="12.75">
      <c r="B360" s="5"/>
      <c r="C360" s="5"/>
      <c r="D360" s="5"/>
      <c r="E360" s="5"/>
      <c r="G360" s="5"/>
      <c r="H360" s="5"/>
      <c r="I360" s="5"/>
    </row>
    <row r="361" spans="2:9" ht="12.75">
      <c r="B361" s="5"/>
      <c r="C361" s="5"/>
      <c r="D361" s="5"/>
      <c r="E361" s="5"/>
      <c r="G361" s="5"/>
      <c r="H361" s="5"/>
      <c r="I361" s="5"/>
    </row>
    <row r="362" spans="2:9" ht="12.75">
      <c r="B362" s="5"/>
      <c r="C362" s="5"/>
      <c r="D362" s="5"/>
      <c r="E362" s="5"/>
      <c r="G362" s="5"/>
      <c r="H362" s="5"/>
      <c r="I362" s="5"/>
    </row>
    <row r="363" spans="2:9" ht="12.75">
      <c r="B363" s="5"/>
      <c r="C363" s="5"/>
      <c r="D363" s="5"/>
      <c r="E363" s="5"/>
      <c r="G363" s="5"/>
      <c r="H363" s="5"/>
      <c r="I363" s="5"/>
    </row>
    <row r="364" spans="2:9" ht="12.75">
      <c r="B364" s="5"/>
      <c r="C364" s="5"/>
      <c r="D364" s="5"/>
      <c r="E364" s="5"/>
      <c r="G364" s="5"/>
      <c r="H364" s="5"/>
      <c r="I364" s="5"/>
    </row>
    <row r="365" spans="2:9" ht="12.75">
      <c r="B365" s="5"/>
      <c r="C365" s="5"/>
      <c r="D365" s="5"/>
      <c r="E365" s="5"/>
      <c r="G365" s="5"/>
      <c r="H365" s="5"/>
      <c r="I365" s="5"/>
    </row>
    <row r="366" spans="2:9" ht="12.75">
      <c r="B366" s="5"/>
      <c r="C366" s="5"/>
      <c r="D366" s="5"/>
      <c r="E366" s="5"/>
      <c r="G366" s="5"/>
      <c r="H366" s="5"/>
      <c r="I366" s="5"/>
    </row>
    <row r="367" spans="2:9" ht="12.75">
      <c r="B367" s="5"/>
      <c r="G367" s="5"/>
      <c r="H367" s="5"/>
      <c r="I367" s="5"/>
    </row>
    <row r="368" spans="2:9" ht="12.75">
      <c r="B368" s="5"/>
      <c r="G368" s="5"/>
      <c r="H368" s="5"/>
      <c r="I368" s="5"/>
    </row>
    <row r="369" spans="2:9" ht="12.75">
      <c r="B369" s="5"/>
      <c r="G369" s="5"/>
      <c r="H369" s="5"/>
      <c r="I369" s="5"/>
    </row>
    <row r="370" spans="2:9" ht="12.75">
      <c r="B370" s="5"/>
      <c r="G370" s="5"/>
      <c r="H370" s="5"/>
      <c r="I370" s="5"/>
    </row>
    <row r="371" spans="7:9" ht="12.75">
      <c r="G371" s="5"/>
      <c r="H371" s="5"/>
      <c r="I371" s="5"/>
    </row>
    <row r="372" spans="7:9" ht="12.75">
      <c r="G372" s="5"/>
      <c r="H372" s="5"/>
      <c r="I372" s="5"/>
    </row>
    <row r="373" spans="7:9" ht="12.75">
      <c r="G373" s="5"/>
      <c r="H373" s="5"/>
      <c r="I373" s="5"/>
    </row>
    <row r="374" spans="7:9" ht="12.75">
      <c r="G374" s="5"/>
      <c r="H374" s="5"/>
      <c r="I374" s="5"/>
    </row>
    <row r="375" spans="7:9" ht="12.75">
      <c r="G375" s="5"/>
      <c r="H375" s="5"/>
      <c r="I375" s="5"/>
    </row>
    <row r="376" spans="7:9" ht="12.75">
      <c r="G376" s="5"/>
      <c r="H376" s="5"/>
      <c r="I376" s="5"/>
    </row>
    <row r="377" spans="7:9" ht="12.75">
      <c r="G377" s="5"/>
      <c r="H377" s="5"/>
      <c r="I377" s="5"/>
    </row>
    <row r="378" spans="7:9" ht="12.75">
      <c r="G378" s="5"/>
      <c r="H378" s="5"/>
      <c r="I378" s="5"/>
    </row>
    <row r="379" spans="7:9" ht="12.75">
      <c r="G379" s="5"/>
      <c r="H379" s="5"/>
      <c r="I379" s="5"/>
    </row>
    <row r="380" spans="7:9" ht="12.75">
      <c r="G380" s="5"/>
      <c r="H380" s="5"/>
      <c r="I380" s="5"/>
    </row>
    <row r="381" spans="7:9" ht="12.75">
      <c r="G381" s="5"/>
      <c r="H381" s="5"/>
      <c r="I381" s="5"/>
    </row>
    <row r="382" spans="8:9" ht="12.75">
      <c r="H382" s="5"/>
      <c r="I382" s="5"/>
    </row>
    <row r="383" spans="8:9" ht="12.75">
      <c r="H383" s="5"/>
      <c r="I383" s="5"/>
    </row>
  </sheetData>
  <mergeCells count="20">
    <mergeCell ref="A4:B4"/>
    <mergeCell ref="C4:E4"/>
    <mergeCell ref="F4:H4"/>
    <mergeCell ref="I4:K4"/>
    <mergeCell ref="A67:D67"/>
    <mergeCell ref="A81:D81"/>
    <mergeCell ref="A95:D95"/>
    <mergeCell ref="A40:F40"/>
    <mergeCell ref="A55:D55"/>
    <mergeCell ref="M4:P4"/>
    <mergeCell ref="E55:H55"/>
    <mergeCell ref="I55:L55"/>
    <mergeCell ref="M55:P55"/>
    <mergeCell ref="L4:L5"/>
    <mergeCell ref="A170:D170"/>
    <mergeCell ref="A184:D184"/>
    <mergeCell ref="A114:D114"/>
    <mergeCell ref="A128:D128"/>
    <mergeCell ref="A142:D142"/>
    <mergeCell ref="A156:D156"/>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5"/>
  <dimension ref="A1:CO72"/>
  <sheetViews>
    <sheetView zoomScale="75" zoomScaleNormal="75" workbookViewId="0" topLeftCell="L1">
      <selection activeCell="CO17" sqref="CO17"/>
    </sheetView>
  </sheetViews>
  <sheetFormatPr defaultColWidth="9.140625" defaultRowHeight="12.75"/>
  <cols>
    <col min="1" max="1" width="64.421875" style="0" customWidth="1"/>
    <col min="2" max="2" width="10.28125" style="0" bestFit="1" customWidth="1"/>
    <col min="3" max="3" width="10.57421875" style="0" customWidth="1"/>
    <col min="5" max="5" width="9.28125" style="0" bestFit="1" customWidth="1"/>
    <col min="6" max="7" width="10.28125" style="0" bestFit="1" customWidth="1"/>
    <col min="8" max="8" width="20.28125" style="0" customWidth="1"/>
    <col min="9" max="9" width="9.28125" style="0" bestFit="1" customWidth="1"/>
    <col min="10" max="11" width="10.421875" style="0" bestFit="1" customWidth="1"/>
    <col min="12" max="16" width="13.8515625" style="0" customWidth="1"/>
    <col min="18" max="18" width="23.28125" style="0" customWidth="1"/>
    <col min="19" max="19" width="17.421875" style="0" customWidth="1"/>
    <col min="20" max="20" width="15.00390625" style="0" customWidth="1"/>
    <col min="22" max="22" width="12.421875" style="0" customWidth="1"/>
    <col min="23" max="23" width="11.7109375" style="0" customWidth="1"/>
    <col min="71" max="71" width="18.28125" style="0" customWidth="1"/>
    <col min="72" max="74" width="11.421875" style="0" bestFit="1" customWidth="1"/>
    <col min="75" max="76" width="9.28125" style="0" customWidth="1"/>
    <col min="77" max="77" width="9.28125" style="0" bestFit="1" customWidth="1"/>
    <col min="78" max="80" width="6.7109375" style="0" customWidth="1"/>
    <col min="81" max="83" width="10.140625" style="0" bestFit="1" customWidth="1"/>
    <col min="84" max="86" width="10.57421875" style="0" bestFit="1" customWidth="1"/>
    <col min="88" max="88" width="8.28125" style="0" customWidth="1"/>
    <col min="89" max="89" width="11.421875" style="0" bestFit="1" customWidth="1"/>
    <col min="90" max="90" width="9.28125" style="0" bestFit="1" customWidth="1"/>
    <col min="91" max="91" width="6.7109375" style="0" customWidth="1"/>
    <col min="92" max="92" width="10.140625" style="0" bestFit="1" customWidth="1"/>
    <col min="93" max="93" width="10.57421875" style="0" bestFit="1" customWidth="1"/>
  </cols>
  <sheetData>
    <row r="1" spans="1:93" ht="23.25" customHeight="1" thickBot="1">
      <c r="A1" s="260" t="s">
        <v>460</v>
      </c>
      <c r="B1" s="788"/>
      <c r="C1" s="789"/>
      <c r="G1" s="109"/>
      <c r="H1" s="311"/>
      <c r="I1" s="312"/>
      <c r="J1" s="312"/>
      <c r="K1" s="312"/>
      <c r="L1" s="313" t="s">
        <v>218</v>
      </c>
      <c r="M1" s="691"/>
      <c r="N1" s="691"/>
      <c r="O1" s="691"/>
      <c r="P1" s="691"/>
      <c r="AU1" s="350" t="s">
        <v>186</v>
      </c>
      <c r="AV1" s="351"/>
      <c r="AW1" s="351"/>
      <c r="AX1" s="352"/>
      <c r="AY1" s="352"/>
      <c r="AZ1" s="353"/>
      <c r="BA1" s="109"/>
      <c r="BB1" s="109"/>
      <c r="BC1" s="350" t="s">
        <v>187</v>
      </c>
      <c r="BD1" s="351"/>
      <c r="BE1" s="351"/>
      <c r="BF1" s="352"/>
      <c r="BG1" s="352"/>
      <c r="BH1" s="353"/>
      <c r="BI1" s="109"/>
      <c r="BJ1" s="109"/>
      <c r="BK1" s="350" t="s">
        <v>188</v>
      </c>
      <c r="BL1" s="351"/>
      <c r="BM1" s="351"/>
      <c r="BN1" s="352"/>
      <c r="BO1" s="352"/>
      <c r="BP1" s="353"/>
      <c r="BS1" s="768" t="s">
        <v>596</v>
      </c>
      <c r="BT1" s="769"/>
      <c r="BU1" s="769"/>
      <c r="BV1" s="769"/>
      <c r="BW1" s="769"/>
      <c r="BX1" s="770"/>
      <c r="CK1" s="5" t="s">
        <v>597</v>
      </c>
      <c r="CL1" s="5" t="s">
        <v>598</v>
      </c>
      <c r="CM1" s="5"/>
      <c r="CN1" s="5"/>
      <c r="CO1" s="5"/>
    </row>
    <row r="2" spans="1:93" ht="27.75" customHeight="1" thickBot="1">
      <c r="A2" s="262" t="s">
        <v>210</v>
      </c>
      <c r="B2" s="263" t="s">
        <v>190</v>
      </c>
      <c r="C2" s="263" t="s">
        <v>191</v>
      </c>
      <c r="D2" s="263" t="s">
        <v>211</v>
      </c>
      <c r="E2" s="263" t="s">
        <v>193</v>
      </c>
      <c r="F2" s="264"/>
      <c r="G2" s="109"/>
      <c r="H2" s="314" t="s">
        <v>217</v>
      </c>
      <c r="I2" s="315">
        <v>850</v>
      </c>
      <c r="J2" s="315">
        <v>1350</v>
      </c>
      <c r="K2" s="315">
        <v>2184</v>
      </c>
      <c r="L2" s="316">
        <f>($I$3*I2)+($J$3*J2)+($K$3*K2)</f>
        <v>1600.28</v>
      </c>
      <c r="M2" s="676"/>
      <c r="N2" s="676"/>
      <c r="O2" s="676"/>
      <c r="P2" s="676"/>
      <c r="AU2" s="354">
        <f>'Cost-Effectiveness Level'!$B$3</f>
        <v>0.2</v>
      </c>
      <c r="AV2" s="355">
        <f>'Cost-Effectiveness Level'!$C$3</f>
        <v>0.5</v>
      </c>
      <c r="AW2" s="355">
        <f>'Cost-Effectiveness Level'!$D$3</f>
        <v>0.25</v>
      </c>
      <c r="AX2" s="355">
        <f>'Cost-Effectiveness Level'!$E$3</f>
        <v>0.05</v>
      </c>
      <c r="AY2" s="356"/>
      <c r="AZ2" s="357"/>
      <c r="BA2" s="109"/>
      <c r="BB2" s="109"/>
      <c r="BC2" s="354">
        <f>'Cost-Effectiveness Level'!$B$3</f>
        <v>0.2</v>
      </c>
      <c r="BD2" s="355">
        <f>'Cost-Effectiveness Level'!$C$3</f>
        <v>0.5</v>
      </c>
      <c r="BE2" s="355">
        <f>'Cost-Effectiveness Level'!$D$3</f>
        <v>0.25</v>
      </c>
      <c r="BF2" s="355">
        <f>'Cost-Effectiveness Level'!$E$3</f>
        <v>0.05</v>
      </c>
      <c r="BG2" s="356"/>
      <c r="BH2" s="357"/>
      <c r="BI2" s="109"/>
      <c r="BJ2" s="109"/>
      <c r="BK2" s="354">
        <f>'Cost-Effectiveness Level'!$B$3</f>
        <v>0.2</v>
      </c>
      <c r="BL2" s="355">
        <f>'Cost-Effectiveness Level'!$C$3</f>
        <v>0.5</v>
      </c>
      <c r="BM2" s="355">
        <f>'Cost-Effectiveness Level'!$D$3</f>
        <v>0.25</v>
      </c>
      <c r="BN2" s="355">
        <f>'Cost-Effectiveness Level'!$E$3</f>
        <v>0.05</v>
      </c>
      <c r="BO2" s="356"/>
      <c r="BP2" s="357"/>
      <c r="BS2" s="558" t="s">
        <v>591</v>
      </c>
      <c r="BT2" s="255" t="s">
        <v>586</v>
      </c>
      <c r="BU2" s="255" t="s">
        <v>586</v>
      </c>
      <c r="BV2" s="255" t="s">
        <v>586</v>
      </c>
      <c r="BW2" s="255" t="s">
        <v>587</v>
      </c>
      <c r="BX2" s="255" t="s">
        <v>587</v>
      </c>
      <c r="BY2" s="255" t="s">
        <v>587</v>
      </c>
      <c r="BZ2" s="255" t="s">
        <v>584</v>
      </c>
      <c r="CA2" s="255" t="s">
        <v>584</v>
      </c>
      <c r="CB2" s="255" t="s">
        <v>584</v>
      </c>
      <c r="CC2" s="255" t="s">
        <v>588</v>
      </c>
      <c r="CD2" s="255" t="s">
        <v>588</v>
      </c>
      <c r="CE2" s="255" t="s">
        <v>588</v>
      </c>
      <c r="CF2" s="255" t="s">
        <v>585</v>
      </c>
      <c r="CG2" s="255" t="s">
        <v>585</v>
      </c>
      <c r="CH2" s="255" t="s">
        <v>585</v>
      </c>
      <c r="CJ2" s="708" t="s">
        <v>123</v>
      </c>
      <c r="CK2" s="709" t="s">
        <v>586</v>
      </c>
      <c r="CL2" s="710" t="s">
        <v>587</v>
      </c>
      <c r="CM2" s="710" t="s">
        <v>584</v>
      </c>
      <c r="CN2" s="710" t="s">
        <v>588</v>
      </c>
      <c r="CO2" s="711" t="s">
        <v>585</v>
      </c>
    </row>
    <row r="3" spans="1:93" ht="15.75" thickBot="1">
      <c r="A3" s="265" t="s">
        <v>212</v>
      </c>
      <c r="B3" s="266">
        <f>INDEX($B5:$E14,$A14,B14)</f>
        <v>0.2</v>
      </c>
      <c r="C3" s="266">
        <f>INDEX($B5:$E14,$A14,C14)</f>
        <v>0.5</v>
      </c>
      <c r="D3" s="266">
        <f>INDEX($B5:$E14,$A14,D14)</f>
        <v>0.25</v>
      </c>
      <c r="E3" s="266">
        <f>INDEX($B5:$E14,$A14,E14)</f>
        <v>0.05</v>
      </c>
      <c r="F3" s="267">
        <f>SUM(B3:E3)</f>
        <v>1</v>
      </c>
      <c r="G3" s="109"/>
      <c r="H3" s="317" t="s">
        <v>219</v>
      </c>
      <c r="I3" s="318">
        <v>0.2</v>
      </c>
      <c r="J3" s="318">
        <v>0.38</v>
      </c>
      <c r="K3" s="318">
        <v>0.42</v>
      </c>
      <c r="L3" s="319">
        <f>SUM(I3:K3)</f>
        <v>1</v>
      </c>
      <c r="M3" s="677"/>
      <c r="N3" s="677"/>
      <c r="O3" s="677"/>
      <c r="P3" s="677"/>
      <c r="AU3" s="360" t="s">
        <v>190</v>
      </c>
      <c r="AV3" s="359" t="s">
        <v>191</v>
      </c>
      <c r="AW3" s="359" t="s">
        <v>192</v>
      </c>
      <c r="AX3" s="359" t="s">
        <v>193</v>
      </c>
      <c r="AY3" s="359" t="s">
        <v>194</v>
      </c>
      <c r="AZ3" s="361" t="s">
        <v>195</v>
      </c>
      <c r="BA3" s="109"/>
      <c r="BB3" s="109"/>
      <c r="BC3" s="360" t="s">
        <v>190</v>
      </c>
      <c r="BD3" s="359" t="s">
        <v>191</v>
      </c>
      <c r="BE3" s="359" t="s">
        <v>192</v>
      </c>
      <c r="BF3" s="359" t="s">
        <v>193</v>
      </c>
      <c r="BG3" s="359" t="s">
        <v>194</v>
      </c>
      <c r="BH3" s="361" t="s">
        <v>195</v>
      </c>
      <c r="BI3" s="109"/>
      <c r="BJ3" s="109"/>
      <c r="BK3" s="360" t="s">
        <v>190</v>
      </c>
      <c r="BL3" s="359" t="s">
        <v>191</v>
      </c>
      <c r="BM3" s="359" t="s">
        <v>192</v>
      </c>
      <c r="BN3" s="359" t="s">
        <v>193</v>
      </c>
      <c r="BO3" s="359" t="s">
        <v>194</v>
      </c>
      <c r="BP3" s="361" t="s">
        <v>195</v>
      </c>
      <c r="BS3" s="558" t="s">
        <v>589</v>
      </c>
      <c r="BT3" s="562">
        <v>850</v>
      </c>
      <c r="BU3" s="562">
        <v>1350</v>
      </c>
      <c r="BV3" s="562">
        <v>2184</v>
      </c>
      <c r="BW3" s="562">
        <v>850</v>
      </c>
      <c r="BX3" s="562">
        <v>1350</v>
      </c>
      <c r="BY3" s="562">
        <v>2184</v>
      </c>
      <c r="BZ3" s="562">
        <v>850</v>
      </c>
      <c r="CA3" s="562">
        <v>1350</v>
      </c>
      <c r="CB3" s="562">
        <v>2184</v>
      </c>
      <c r="CC3" s="562">
        <v>850</v>
      </c>
      <c r="CD3" s="562">
        <v>1350</v>
      </c>
      <c r="CE3" s="562">
        <v>2184</v>
      </c>
      <c r="CF3" s="562">
        <v>850</v>
      </c>
      <c r="CG3" s="562">
        <v>1350</v>
      </c>
      <c r="CH3" s="562">
        <v>2184</v>
      </c>
      <c r="CJ3" s="5"/>
      <c r="CK3" s="705">
        <f>SUMPRODUCT($I$3:$K$3,BT3:BV3)</f>
        <v>1600.28</v>
      </c>
      <c r="CL3" s="706">
        <f>SUMPRODUCT($I$3:$K$3,BW3:BY3)</f>
        <v>1600.28</v>
      </c>
      <c r="CM3" s="706">
        <f>SUMPRODUCT($I$3:$K$3,BZ3:CB3)</f>
        <v>1600.28</v>
      </c>
      <c r="CN3" s="706">
        <f>SUMPRODUCT($I$3:$K$3,CC3:CE3)</f>
        <v>1600.28</v>
      </c>
      <c r="CO3" s="707">
        <f>SUMPRODUCT($I$3:$K$3,CF3:CH3)</f>
        <v>1600.28</v>
      </c>
    </row>
    <row r="4" spans="1:93" ht="14.25">
      <c r="A4" s="268" t="s">
        <v>461</v>
      </c>
      <c r="B4" s="269"/>
      <c r="C4" s="269"/>
      <c r="D4" s="269"/>
      <c r="E4" s="269"/>
      <c r="F4" s="270"/>
      <c r="G4" s="109"/>
      <c r="AU4" s="362">
        <v>43977.32200410197</v>
      </c>
      <c r="AV4" s="115">
        <v>50202.10958101377</v>
      </c>
      <c r="AW4" s="115">
        <v>65026.01816583651</v>
      </c>
      <c r="AX4" s="115">
        <v>74636.03867565191</v>
      </c>
      <c r="AY4" s="358">
        <v>1500</v>
      </c>
      <c r="AZ4" s="363">
        <f>('Cost-Effectiveness Level'!$B$3*AU4)+('Cost-Effectiveness Level'!$C$3*AV4)+('Cost-Effectiveness Level'!$D$3*AW4)+('Cost-Effectiveness Level'!$E$3*AX4)</f>
        <v>53884.825666569006</v>
      </c>
      <c r="BA4" s="109"/>
      <c r="BB4" s="109"/>
      <c r="BC4" s="362">
        <v>42722.648696161734</v>
      </c>
      <c r="BD4" s="115">
        <v>48847.23117491943</v>
      </c>
      <c r="BE4" s="115">
        <v>63476.64811016701</v>
      </c>
      <c r="BF4" s="115">
        <v>73096.04453559918</v>
      </c>
      <c r="BG4" s="358">
        <v>1500</v>
      </c>
      <c r="BH4" s="363">
        <f>('Cost-Effectiveness Level'!$B$3*BC4)+('Cost-Effectiveness Level'!$C$3*BD4)+('Cost-Effectiveness Level'!$D$3*BE4)+('Cost-Effectiveness Level'!$E$3*BF4)</f>
        <v>52492.10958101377</v>
      </c>
      <c r="BI4" s="109"/>
      <c r="BJ4" s="109"/>
      <c r="BK4" s="362">
        <v>38694.66744799297</v>
      </c>
      <c r="BL4" s="115">
        <v>44448.08086727219</v>
      </c>
      <c r="BM4" s="115">
        <v>58612.745385291535</v>
      </c>
      <c r="BN4" s="115">
        <v>68061.5587459713</v>
      </c>
      <c r="BO4" s="358">
        <v>1500</v>
      </c>
      <c r="BP4" s="363">
        <f>('Cost-Effectiveness Level'!$B$3*BK4)+('Cost-Effectiveness Level'!$C$3*BL4)+('Cost-Effectiveness Level'!$D$3*BM4)+('Cost-Effectiveness Level'!$E$3*BN4)</f>
        <v>48019.238206856135</v>
      </c>
      <c r="BS4" s="558" t="s">
        <v>594</v>
      </c>
      <c r="BT4" s="562">
        <f>$B$23</f>
        <v>273.7795397878741</v>
      </c>
      <c r="BU4" s="563">
        <f>$C$23</f>
        <v>389.11878405767476</v>
      </c>
      <c r="BV4" s="562">
        <f>$D$23</f>
        <v>613.4090560882945</v>
      </c>
      <c r="BW4" s="562">
        <f>$B$23</f>
        <v>273.7795397878741</v>
      </c>
      <c r="BX4" s="563">
        <f>$C$23</f>
        <v>389.11878405767476</v>
      </c>
      <c r="BY4" s="562">
        <f>$D$23</f>
        <v>613.4090560882945</v>
      </c>
      <c r="BZ4" s="562">
        <f>$B$23</f>
        <v>273.7795397878741</v>
      </c>
      <c r="CA4" s="563">
        <f>$C$23</f>
        <v>389.11878405767476</v>
      </c>
      <c r="CB4" s="562">
        <f>$D$23</f>
        <v>613.4090560882945</v>
      </c>
      <c r="CC4" s="562">
        <f>$B$23</f>
        <v>273.7795397878741</v>
      </c>
      <c r="CD4" s="563">
        <f>$C$23</f>
        <v>389.11878405767476</v>
      </c>
      <c r="CE4" s="562">
        <f>$D$23</f>
        <v>613.4090560882945</v>
      </c>
      <c r="CF4" s="562">
        <f>$B$23</f>
        <v>273.7795397878741</v>
      </c>
      <c r="CG4" s="563">
        <f>$C$23</f>
        <v>389.11878405767476</v>
      </c>
      <c r="CH4" s="562">
        <f>$D$23</f>
        <v>613.4090560882945</v>
      </c>
      <c r="CJ4" s="5"/>
      <c r="CK4" s="696">
        <f>SUMPRODUCT($I$3:$K$3,BT4:BV4)</f>
        <v>460.25284945657495</v>
      </c>
      <c r="CL4" s="697">
        <f>SUMPRODUCT($I$3:$K$3,BW4:BY4)</f>
        <v>460.25284945657495</v>
      </c>
      <c r="CM4" s="697">
        <f>SUMPRODUCT($I$3:$K$3,BZ4:CB4)</f>
        <v>460.25284945657495</v>
      </c>
      <c r="CN4" s="697">
        <f>SUMPRODUCT($I$3:$K$3,CC4:CE4)</f>
        <v>460.25284945657495</v>
      </c>
      <c r="CO4" s="698">
        <f>SUMPRODUCT($I$3:$K$3,CF4:CH4)</f>
        <v>460.25284945657495</v>
      </c>
    </row>
    <row r="5" spans="1:93" ht="14.25">
      <c r="A5" s="271" t="s">
        <v>207</v>
      </c>
      <c r="B5" s="114">
        <v>0.4</v>
      </c>
      <c r="C5" s="114">
        <v>0.45</v>
      </c>
      <c r="D5" s="114">
        <v>0.15</v>
      </c>
      <c r="E5" s="114">
        <v>0</v>
      </c>
      <c r="F5" s="272">
        <f aca="true" t="shared" si="0" ref="F5:F13">SUM(B5:E5)</f>
        <v>1</v>
      </c>
      <c r="G5" s="109"/>
      <c r="AU5" s="362">
        <v>43308.29182537358</v>
      </c>
      <c r="AV5" s="115">
        <v>49442.513917374745</v>
      </c>
      <c r="AW5" s="115">
        <v>64069.967770290066</v>
      </c>
      <c r="AX5" s="115">
        <v>73547.67067096397</v>
      </c>
      <c r="AY5" s="358">
        <v>1480</v>
      </c>
      <c r="AZ5" s="363">
        <f>('Cost-Effectiveness Level'!$B$3*AU5)+('Cost-Effectiveness Level'!$C$3*AV5)+('Cost-Effectiveness Level'!$D$3*AW5)+('Cost-Effectiveness Level'!$E$3*AX5)</f>
        <v>53077.79079988281</v>
      </c>
      <c r="BA5" s="109"/>
      <c r="BB5" s="109"/>
      <c r="BC5" s="362">
        <v>42054.99560503956</v>
      </c>
      <c r="BD5" s="115">
        <v>48090.946381482565</v>
      </c>
      <c r="BE5" s="115">
        <v>62524.02578376795</v>
      </c>
      <c r="BF5" s="115">
        <v>72010.9874011134</v>
      </c>
      <c r="BG5" s="358">
        <v>1480</v>
      </c>
      <c r="BH5" s="363">
        <f>('Cost-Effectiveness Level'!$B$3*BC5)+('Cost-Effectiveness Level'!$C$3*BD5)+('Cost-Effectiveness Level'!$D$3*BE5)+('Cost-Effectiveness Level'!$E$3*BF5)</f>
        <v>51688.02812774685</v>
      </c>
      <c r="BI5" s="109"/>
      <c r="BJ5" s="109"/>
      <c r="BK5" s="362">
        <v>38040.580134778786</v>
      </c>
      <c r="BL5" s="115">
        <v>43697.83181951363</v>
      </c>
      <c r="BM5" s="115">
        <v>57672.985643129214</v>
      </c>
      <c r="BN5" s="115">
        <v>66982.97685320833</v>
      </c>
      <c r="BO5" s="358">
        <v>1480</v>
      </c>
      <c r="BP5" s="363">
        <f>('Cost-Effectiveness Level'!$B$3*BK5)+('Cost-Effectiveness Level'!$C$3*BL5)+('Cost-Effectiveness Level'!$D$3*BM5)+('Cost-Effectiveness Level'!$E$3*BN5)</f>
        <v>47224.4271901553</v>
      </c>
      <c r="BS5" s="558" t="s">
        <v>590</v>
      </c>
      <c r="BT5" s="692">
        <f aca="true" t="shared" si="1" ref="BT5:CH5">BT4/BT3</f>
        <v>0.32209357622102835</v>
      </c>
      <c r="BU5" s="692">
        <f t="shared" si="1"/>
        <v>0.28823613633901835</v>
      </c>
      <c r="BV5" s="692">
        <f t="shared" si="1"/>
        <v>0.28086495242138027</v>
      </c>
      <c r="BW5" s="692">
        <f t="shared" si="1"/>
        <v>0.32209357622102835</v>
      </c>
      <c r="BX5" s="692">
        <f t="shared" si="1"/>
        <v>0.28823613633901835</v>
      </c>
      <c r="BY5" s="692">
        <f t="shared" si="1"/>
        <v>0.28086495242138027</v>
      </c>
      <c r="BZ5" s="692">
        <f t="shared" si="1"/>
        <v>0.32209357622102835</v>
      </c>
      <c r="CA5" s="692">
        <f t="shared" si="1"/>
        <v>0.28823613633901835</v>
      </c>
      <c r="CB5" s="692">
        <f t="shared" si="1"/>
        <v>0.28086495242138027</v>
      </c>
      <c r="CC5" s="692">
        <f t="shared" si="1"/>
        <v>0.32209357622102835</v>
      </c>
      <c r="CD5" s="692">
        <f t="shared" si="1"/>
        <v>0.28823613633901835</v>
      </c>
      <c r="CE5" s="692">
        <f t="shared" si="1"/>
        <v>0.28086495242138027</v>
      </c>
      <c r="CF5" s="692">
        <f t="shared" si="1"/>
        <v>0.32209357622102835</v>
      </c>
      <c r="CG5" s="692">
        <f t="shared" si="1"/>
        <v>0.28823613633901835</v>
      </c>
      <c r="CH5" s="692">
        <f t="shared" si="1"/>
        <v>0.28086495242138027</v>
      </c>
      <c r="CJ5" s="5"/>
      <c r="CK5" s="699">
        <f>SUMPRODUCT($I$3:$K$3,BT5:BV5)</f>
        <v>0.29191172707001234</v>
      </c>
      <c r="CL5" s="701">
        <f>SUMPRODUCT($I$3:$K$3,BW5:BY5)</f>
        <v>0.29191172707001234</v>
      </c>
      <c r="CM5" s="701">
        <f>SUMPRODUCT($I$3:$K$3,BZ5:CB5)</f>
        <v>0.29191172707001234</v>
      </c>
      <c r="CN5" s="701">
        <f>SUMPRODUCT($I$3:$K$3,CC5:CE5)</f>
        <v>0.29191172707001234</v>
      </c>
      <c r="CO5" s="703">
        <f>SUMPRODUCT($I$3:$K$3,CF5:CH5)</f>
        <v>0.29191172707001234</v>
      </c>
    </row>
    <row r="6" spans="1:93" ht="14.25">
      <c r="A6" s="271" t="s">
        <v>208</v>
      </c>
      <c r="B6" s="114">
        <v>0</v>
      </c>
      <c r="C6" s="114">
        <v>0.07</v>
      </c>
      <c r="D6" s="114">
        <v>0.93</v>
      </c>
      <c r="E6" s="114">
        <v>0</v>
      </c>
      <c r="F6" s="272">
        <f t="shared" si="0"/>
        <v>1</v>
      </c>
      <c r="G6" s="109"/>
      <c r="AU6" s="362">
        <v>42639.320246117786</v>
      </c>
      <c r="AV6" s="115">
        <v>48683.03545268093</v>
      </c>
      <c r="AW6" s="115">
        <v>63113.85877527103</v>
      </c>
      <c r="AX6" s="115">
        <v>72460.00585994727</v>
      </c>
      <c r="AY6" s="358">
        <v>1460</v>
      </c>
      <c r="AZ6" s="363">
        <f>('Cost-Effectiveness Level'!$B$3*AU6)+('Cost-Effectiveness Level'!$C$3*AV6)+('Cost-Effectiveness Level'!$D$3*AW6)+('Cost-Effectiveness Level'!$E$3*AX6)</f>
        <v>52270.846762379144</v>
      </c>
      <c r="BA6" s="109"/>
      <c r="BB6" s="109"/>
      <c r="BC6" s="362">
        <v>41387.752710225606</v>
      </c>
      <c r="BD6" s="115">
        <v>47334.749487254616</v>
      </c>
      <c r="BE6" s="115">
        <v>61571.43275710518</v>
      </c>
      <c r="BF6" s="115">
        <v>70926.16466451803</v>
      </c>
      <c r="BG6" s="358">
        <v>1460</v>
      </c>
      <c r="BH6" s="363">
        <f>('Cost-Effectiveness Level'!$B$3*BC6)+('Cost-Effectiveness Level'!$C$3*BD6)+('Cost-Effectiveness Level'!$D$3*BE6)+('Cost-Effectiveness Level'!$E$3*BF6)</f>
        <v>50884.09170817462</v>
      </c>
      <c r="BI6" s="109"/>
      <c r="BJ6" s="109"/>
      <c r="BK6" s="362">
        <v>37386.96161734544</v>
      </c>
      <c r="BL6" s="115">
        <v>42948.49106358043</v>
      </c>
      <c r="BM6" s="115">
        <v>56734.016993847064</v>
      </c>
      <c r="BN6" s="115">
        <v>65904.48285965426</v>
      </c>
      <c r="BO6" s="358">
        <v>1460</v>
      </c>
      <c r="BP6" s="363">
        <f>('Cost-Effectiveness Level'!$B$3*BK6)+('Cost-Effectiveness Level'!$C$3*BL6)+('Cost-Effectiveness Level'!$D$3*BM6)+('Cost-Effectiveness Level'!$E$3*BN6)</f>
        <v>46430.36624670378</v>
      </c>
      <c r="BS6" s="558" t="s">
        <v>592</v>
      </c>
      <c r="BT6" s="693">
        <f>2.5573*BT5+0.2372</f>
        <v>1.0608899024700358</v>
      </c>
      <c r="BU6" s="693">
        <f>2.26083*BU5+0.03621</f>
        <v>0.6878629041193428</v>
      </c>
      <c r="BV6" s="693">
        <f>4.48273*BV5-0.69282</f>
        <v>0.566221748167894</v>
      </c>
      <c r="BW6" s="693">
        <f>1.4613*BW5+0.0684</f>
        <v>0.5390753429317887</v>
      </c>
      <c r="BX6" s="693">
        <f>1.1074*BX5+0.0095</f>
        <v>0.3286926973818289</v>
      </c>
      <c r="BY6" s="693">
        <f>2.35984*BY5-0.40191</f>
        <v>0.2608863493220701</v>
      </c>
      <c r="BZ6" s="693">
        <f>5.967*BZ5+0.6001</f>
        <v>2.522032369310876</v>
      </c>
      <c r="CA6" s="694">
        <f>5.88899*CA5+0.1508</f>
        <v>1.8482197245391156</v>
      </c>
      <c r="CB6" s="693">
        <f>9.94137*CB5-1.13637</f>
        <v>1.6558124120533366</v>
      </c>
      <c r="CC6" s="693">
        <f>3.7751*CC5+0.3325</f>
        <v>1.5484354595920042</v>
      </c>
      <c r="CD6" s="693">
        <f>3.52437*CD5+0.08693</f>
        <v>1.102780791829146</v>
      </c>
      <c r="CE6" s="693">
        <f>6.1494*CE5-0.75803</f>
        <v>0.9691209384200359</v>
      </c>
      <c r="CF6" s="693">
        <f>3.5315*CF5+0.3095</f>
        <v>1.4469734644245618</v>
      </c>
      <c r="CG6" s="693">
        <f>3.44043*CG5-0.00193</f>
        <v>0.989726250544849</v>
      </c>
      <c r="CH6" s="693">
        <f>6.44337*CH5-0.95536</f>
        <v>0.8543568084833488</v>
      </c>
      <c r="CJ6" s="5"/>
      <c r="CK6" s="700">
        <f>SUMPRODUCT($I$3:$K$3,BT6:BV6)</f>
        <v>0.7113790182898728</v>
      </c>
      <c r="CL6" s="702">
        <f>SUMPRODUCT($I$3:$K$3,BW6:BY6)</f>
        <v>0.34229056030672217</v>
      </c>
      <c r="CM6" s="702">
        <f>SUMPRODUCT($I$3:$K$3,BZ6:CB6)</f>
        <v>1.9021711822494405</v>
      </c>
      <c r="CN6" s="702">
        <f>SUMPRODUCT($I$3:$K$3,CC6:CE6)</f>
        <v>1.1357745869498914</v>
      </c>
      <c r="CO6" s="704">
        <f>SUMPRODUCT($I$3:$K$3,CF6:CH6)</f>
        <v>1.0243205276549614</v>
      </c>
    </row>
    <row r="7" spans="1:93" ht="26.25" thickBot="1">
      <c r="A7" s="271" t="s">
        <v>209</v>
      </c>
      <c r="B7" s="114">
        <v>0</v>
      </c>
      <c r="C7" s="114">
        <v>0</v>
      </c>
      <c r="D7" s="114">
        <v>0</v>
      </c>
      <c r="E7" s="114">
        <v>1</v>
      </c>
      <c r="F7" s="272">
        <f t="shared" si="0"/>
        <v>1</v>
      </c>
      <c r="G7" s="109"/>
      <c r="AU7" s="362">
        <v>41970.348666861995</v>
      </c>
      <c r="AV7" s="115">
        <v>47923.76208614122</v>
      </c>
      <c r="AW7" s="115">
        <v>62157.74978025198</v>
      </c>
      <c r="AX7" s="115">
        <v>71372.54614708468</v>
      </c>
      <c r="AY7" s="358">
        <v>1440</v>
      </c>
      <c r="AZ7" s="363">
        <f>('Cost-Effectiveness Level'!$B$3*AU7)+('Cost-Effectiveness Level'!$C$3*AV7)+('Cost-Effectiveness Level'!$D$3*AW7)+('Cost-Effectiveness Level'!$E$3*AX7)</f>
        <v>51464.01552886023</v>
      </c>
      <c r="BA7" s="109"/>
      <c r="BB7" s="109"/>
      <c r="BC7" s="362">
        <v>40720.832112510994</v>
      </c>
      <c r="BD7" s="115">
        <v>46578.406094345155</v>
      </c>
      <c r="BE7" s="115">
        <v>60618.89832991503</v>
      </c>
      <c r="BF7" s="115">
        <v>69841.8986229124</v>
      </c>
      <c r="BG7" s="358">
        <v>1440</v>
      </c>
      <c r="BH7" s="363">
        <f>('Cost-Effectiveness Level'!$B$3*BC7)+('Cost-Effectiveness Level'!$C$3*BD7)+('Cost-Effectiveness Level'!$D$3*BE7)+('Cost-Effectiveness Level'!$E$3*BF7)</f>
        <v>50080.18898329916</v>
      </c>
      <c r="BI7" s="109"/>
      <c r="BJ7" s="109"/>
      <c r="BK7" s="362">
        <v>36734.10489305596</v>
      </c>
      <c r="BL7" s="115">
        <v>42199.707002636984</v>
      </c>
      <c r="BM7" s="115">
        <v>55795.19484324641</v>
      </c>
      <c r="BN7" s="115">
        <v>64825.959566363905</v>
      </c>
      <c r="BO7" s="358">
        <v>1440</v>
      </c>
      <c r="BP7" s="363">
        <f>('Cost-Effectiveness Level'!$B$3*BK7)+('Cost-Effectiveness Level'!$C$3*BL7)+('Cost-Effectiveness Level'!$D$3*BM7)+('Cost-Effectiveness Level'!$E$3*BN7)</f>
        <v>45636.77116905949</v>
      </c>
      <c r="BS7" s="558" t="s">
        <v>593</v>
      </c>
      <c r="BT7" s="695">
        <f aca="true" t="shared" si="2" ref="BT7:CH7">BT3*BT6</f>
        <v>901.7564170995304</v>
      </c>
      <c r="BU7" s="695">
        <f t="shared" si="2"/>
        <v>928.6149205611127</v>
      </c>
      <c r="BV7" s="695">
        <f t="shared" si="2"/>
        <v>1236.6282979986804</v>
      </c>
      <c r="BW7" s="695">
        <f t="shared" si="2"/>
        <v>458.2140414920204</v>
      </c>
      <c r="BX7" s="695">
        <f t="shared" si="2"/>
        <v>443.735141465469</v>
      </c>
      <c r="BY7" s="695">
        <f t="shared" si="2"/>
        <v>569.7757869194011</v>
      </c>
      <c r="BZ7" s="695">
        <f t="shared" si="2"/>
        <v>2143.7275139142444</v>
      </c>
      <c r="CA7" s="695">
        <f t="shared" si="2"/>
        <v>2495.096628127806</v>
      </c>
      <c r="CB7" s="695">
        <f t="shared" si="2"/>
        <v>3616.2943079244874</v>
      </c>
      <c r="CC7" s="695">
        <f t="shared" si="2"/>
        <v>1316.1701406532036</v>
      </c>
      <c r="CD7" s="695">
        <f t="shared" si="2"/>
        <v>1488.754068969347</v>
      </c>
      <c r="CE7" s="695">
        <f t="shared" si="2"/>
        <v>2116.5601295093584</v>
      </c>
      <c r="CF7" s="695">
        <f t="shared" si="2"/>
        <v>1229.9274447608775</v>
      </c>
      <c r="CG7" s="695">
        <f t="shared" si="2"/>
        <v>1336.130438235546</v>
      </c>
      <c r="CH7" s="695">
        <f t="shared" si="2"/>
        <v>1865.9152697276338</v>
      </c>
      <c r="CJ7" s="5"/>
      <c r="CK7" s="712">
        <f>SUMPRODUCT($I$3:$K$3,BT7:BV7)</f>
        <v>1052.6088383925746</v>
      </c>
      <c r="CL7" s="713">
        <f>SUMPRODUCT($I$3:$K$3,BW7:BY7)</f>
        <v>499.56799256143074</v>
      </c>
      <c r="CM7" s="713">
        <f>SUMPRODUCT($I$3:$K$3,BZ7:CB7)</f>
        <v>2895.7258307997</v>
      </c>
      <c r="CN7" s="713">
        <f>SUMPRODUCT($I$3:$K$3,CC7:CE7)</f>
        <v>1717.9158287329228</v>
      </c>
      <c r="CO7" s="714">
        <f>SUMPRODUCT($I$3:$K$3,CF7:CH7)</f>
        <v>1537.3994687672894</v>
      </c>
    </row>
    <row r="8" spans="1:68" ht="14.25">
      <c r="A8" s="258" t="s">
        <v>242</v>
      </c>
      <c r="B8" s="114">
        <v>0.2</v>
      </c>
      <c r="C8" s="114">
        <v>0.5</v>
      </c>
      <c r="D8" s="114">
        <v>0.25</v>
      </c>
      <c r="E8" s="114">
        <v>0.05</v>
      </c>
      <c r="F8" s="272">
        <f t="shared" si="0"/>
        <v>1</v>
      </c>
      <c r="G8" s="109"/>
      <c r="AU8" s="362">
        <v>41301.69938470554</v>
      </c>
      <c r="AV8" s="115">
        <v>47164.78171696455</v>
      </c>
      <c r="AW8" s="115">
        <v>61201.81658365075</v>
      </c>
      <c r="AX8" s="115">
        <v>70285.1157339584</v>
      </c>
      <c r="AY8" s="358">
        <v>1420</v>
      </c>
      <c r="AZ8" s="363">
        <f>('Cost-Effectiveness Level'!$B$3*AU8)+('Cost-Effectiveness Level'!$C$3*AV8)+('Cost-Effectiveness Level'!$D$3*AW8)+('Cost-Effectiveness Level'!$E$3*AX8)</f>
        <v>50657.44066803399</v>
      </c>
      <c r="BA8" s="109"/>
      <c r="BB8" s="109"/>
      <c r="BC8" s="362">
        <v>40054.116612950485</v>
      </c>
      <c r="BD8" s="115">
        <v>45822.1799003809</v>
      </c>
      <c r="BE8" s="115">
        <v>59666.21740404336</v>
      </c>
      <c r="BF8" s="115">
        <v>68757.51538236155</v>
      </c>
      <c r="BG8" s="358">
        <v>1420</v>
      </c>
      <c r="BH8" s="363">
        <f>('Cost-Effectiveness Level'!$B$3*BC8)+('Cost-Effectiveness Level'!$C$3*BD8)+('Cost-Effectiveness Level'!$D$3*BE8)+('Cost-Effectiveness Level'!$E$3*BF8)</f>
        <v>49276.34339290947</v>
      </c>
      <c r="BI8" s="109"/>
      <c r="BJ8" s="109"/>
      <c r="BK8" s="362">
        <v>36082.127160855554</v>
      </c>
      <c r="BL8" s="115">
        <v>41451.42103721067</v>
      </c>
      <c r="BM8" s="115">
        <v>54856.87078816291</v>
      </c>
      <c r="BN8" s="115">
        <v>63748.1101670085</v>
      </c>
      <c r="BO8" s="358">
        <v>1420</v>
      </c>
      <c r="BP8" s="363">
        <f>('Cost-Effectiveness Level'!$B$3*BK8)+('Cost-Effectiveness Level'!$C$3*BL8)+('Cost-Effectiveness Level'!$D$3*BM8)+('Cost-Effectiveness Level'!$E$3*BN8)</f>
        <v>44843.7591561676</v>
      </c>
    </row>
    <row r="9" spans="1:68" ht="14.25">
      <c r="A9" s="258" t="s">
        <v>190</v>
      </c>
      <c r="B9" s="114">
        <v>1</v>
      </c>
      <c r="C9" s="114">
        <v>0</v>
      </c>
      <c r="D9" s="114">
        <v>0</v>
      </c>
      <c r="E9" s="114">
        <v>0</v>
      </c>
      <c r="F9" s="272">
        <f t="shared" si="0"/>
        <v>1</v>
      </c>
      <c r="G9" s="109"/>
      <c r="AU9" s="362">
        <v>40633.07940228539</v>
      </c>
      <c r="AV9" s="115">
        <v>46405.742748315264</v>
      </c>
      <c r="AW9" s="115">
        <v>60246.05918546733</v>
      </c>
      <c r="AX9" s="115">
        <v>69197.89041898624</v>
      </c>
      <c r="AY9" s="358">
        <v>1400</v>
      </c>
      <c r="AZ9" s="363">
        <f>('Cost-Effectiveness Level'!$B$3*AU9)+('Cost-Effectiveness Level'!$C$3*AV9)+('Cost-Effectiveness Level'!$D$3*AW9)+('Cost-Effectiveness Level'!$E$3*AX9)</f>
        <v>49850.896571930854</v>
      </c>
      <c r="BA9" s="109"/>
      <c r="BB9" s="109"/>
      <c r="BC9" s="362">
        <v>39387.72341048931</v>
      </c>
      <c r="BD9" s="115">
        <v>45066.100205098155</v>
      </c>
      <c r="BE9" s="115">
        <v>58713.38997949018</v>
      </c>
      <c r="BF9" s="115">
        <v>67673.57163785526</v>
      </c>
      <c r="BG9" s="358">
        <v>1400</v>
      </c>
      <c r="BH9" s="363">
        <f>('Cost-Effectiveness Level'!$B$3*BC9)+('Cost-Effectiveness Level'!$C$3*BD9)+('Cost-Effectiveness Level'!$D$3*BE9)+('Cost-Effectiveness Level'!$E$3*BF9)</f>
        <v>48472.620861412244</v>
      </c>
      <c r="BI9" s="109"/>
      <c r="BJ9" s="109"/>
      <c r="BK9" s="362">
        <v>35430.94052153531</v>
      </c>
      <c r="BL9" s="115">
        <v>40703.92616466452</v>
      </c>
      <c r="BM9" s="115">
        <v>53918.75183123352</v>
      </c>
      <c r="BN9" s="115">
        <v>62670.61236448872</v>
      </c>
      <c r="BO9" s="358">
        <v>1400</v>
      </c>
      <c r="BP9" s="363">
        <f>('Cost-Effectiveness Level'!$B$3*BK9)+('Cost-Effectiveness Level'!$C$3*BL9)+('Cost-Effectiveness Level'!$D$3*BM9)+('Cost-Effectiveness Level'!$E$3*BN9)</f>
        <v>44051.36976267214</v>
      </c>
    </row>
    <row r="10" spans="1:68" ht="14.25">
      <c r="A10" s="258" t="s">
        <v>191</v>
      </c>
      <c r="B10" s="114">
        <v>0</v>
      </c>
      <c r="C10" s="114">
        <v>1</v>
      </c>
      <c r="D10" s="114">
        <v>0</v>
      </c>
      <c r="E10" s="114">
        <v>0</v>
      </c>
      <c r="F10" s="272">
        <f t="shared" si="0"/>
        <v>1</v>
      </c>
      <c r="G10" s="109"/>
      <c r="AU10" s="362">
        <v>39964.40082039262</v>
      </c>
      <c r="AV10" s="115">
        <v>45646.8795780838</v>
      </c>
      <c r="AW10" s="115">
        <v>59290.41898622913</v>
      </c>
      <c r="AX10" s="115">
        <v>68110.89950190448</v>
      </c>
      <c r="AY10" s="358">
        <v>1380</v>
      </c>
      <c r="AZ10" s="363">
        <f>('Cost-Effectiveness Level'!$B$3*AU10)+('Cost-Effectiveness Level'!$C$3*AV10)+('Cost-Effectiveness Level'!$D$3*AW10)+('Cost-Effectiveness Level'!$E$3*AX10)</f>
        <v>49044.46967477293</v>
      </c>
      <c r="BA10" s="109"/>
      <c r="BB10" s="109"/>
      <c r="BC10" s="362">
        <v>38721.56460591855</v>
      </c>
      <c r="BD10" s="115">
        <v>44310.284207442135</v>
      </c>
      <c r="BE10" s="115">
        <v>57760.70905361852</v>
      </c>
      <c r="BF10" s="115">
        <v>66589.65719308527</v>
      </c>
      <c r="BG10" s="358">
        <v>1380</v>
      </c>
      <c r="BH10" s="363">
        <f>('Cost-Effectiveness Level'!$B$3*BC10)+('Cost-Effectiveness Level'!$C$3*BD10)+('Cost-Effectiveness Level'!$D$3*BE10)+('Cost-Effectiveness Level'!$E$3*BF10)</f>
        <v>47669.115147963676</v>
      </c>
      <c r="BI10" s="109"/>
      <c r="BJ10" s="109"/>
      <c r="BK10" s="362">
        <v>34779.51948432464</v>
      </c>
      <c r="BL10" s="115">
        <v>39956.25549370056</v>
      </c>
      <c r="BM10" s="115">
        <v>52980.95517140346</v>
      </c>
      <c r="BN10" s="115">
        <v>61594.84324641079</v>
      </c>
      <c r="BO10" s="358">
        <v>1380</v>
      </c>
      <c r="BP10" s="363">
        <f>('Cost-Effectiveness Level'!$B$3*BK10)+('Cost-Effectiveness Level'!$C$3*BL10)+('Cost-Effectiveness Level'!$D$3*BM10)+('Cost-Effectiveness Level'!$E$3*BN10)</f>
        <v>43259.01259888661</v>
      </c>
    </row>
    <row r="11" spans="1:68" ht="14.25">
      <c r="A11" s="258" t="s">
        <v>241</v>
      </c>
      <c r="B11" s="114">
        <v>0</v>
      </c>
      <c r="C11" s="114">
        <v>0.44</v>
      </c>
      <c r="D11" s="114">
        <v>0.56</v>
      </c>
      <c r="E11" s="114">
        <v>0</v>
      </c>
      <c r="F11" s="272">
        <f t="shared" si="0"/>
        <v>1</v>
      </c>
      <c r="G11" s="109"/>
      <c r="AU11" s="362">
        <v>39295.78083797246</v>
      </c>
      <c r="AV11" s="115">
        <v>44888.10430706124</v>
      </c>
      <c r="AW11" s="115">
        <v>58335.04248461764</v>
      </c>
      <c r="AX11" s="115">
        <v>67023.90858482274</v>
      </c>
      <c r="AY11" s="358">
        <v>1360</v>
      </c>
      <c r="AZ11" s="363">
        <f>('Cost-Effectiveness Level'!$B$3*AU11)+('Cost-Effectiveness Level'!$C$3*AV11)+('Cost-Effectiveness Level'!$D$3*AW11)+('Cost-Effectiveness Level'!$E$3*AX11)</f>
        <v>48238.16437152067</v>
      </c>
      <c r="BA11" s="109"/>
      <c r="BB11" s="109"/>
      <c r="BC11" s="362">
        <v>38055.25930266628</v>
      </c>
      <c r="BD11" s="115">
        <v>43554.93700556695</v>
      </c>
      <c r="BE11" s="115">
        <v>56809.024318781136</v>
      </c>
      <c r="BF11" s="115">
        <v>65505.77204805158</v>
      </c>
      <c r="BG11" s="358">
        <v>1360</v>
      </c>
      <c r="BH11" s="363">
        <f>('Cost-Effectiveness Level'!$B$3*BC11)+('Cost-Effectiveness Level'!$C$3*BD11)+('Cost-Effectiveness Level'!$D$3*BE11)+('Cost-Effectiveness Level'!$E$3*BF11)</f>
        <v>46866.065045414594</v>
      </c>
      <c r="BI11" s="109"/>
      <c r="BJ11" s="109"/>
      <c r="BK11" s="362">
        <v>34129.06533841196</v>
      </c>
      <c r="BL11" s="115">
        <v>39208.08672721946</v>
      </c>
      <c r="BM11" s="115">
        <v>52044.35980076179</v>
      </c>
      <c r="BN11" s="115">
        <v>60519.51362437739</v>
      </c>
      <c r="BO11" s="358">
        <v>1360</v>
      </c>
      <c r="BP11" s="363">
        <f>('Cost-Effectiveness Level'!$B$3*BK11)+('Cost-Effectiveness Level'!$C$3*BL11)+('Cost-Effectiveness Level'!$D$3*BM11)+('Cost-Effectiveness Level'!$E$3*BN11)</f>
        <v>42466.922062701444</v>
      </c>
    </row>
    <row r="12" spans="1:68" ht="15" thickBot="1">
      <c r="A12" s="258" t="s">
        <v>192</v>
      </c>
      <c r="B12" s="114">
        <v>0</v>
      </c>
      <c r="C12" s="114">
        <v>0</v>
      </c>
      <c r="D12" s="114">
        <v>1</v>
      </c>
      <c r="E12" s="114">
        <v>0</v>
      </c>
      <c r="F12" s="272">
        <f t="shared" si="0"/>
        <v>1</v>
      </c>
      <c r="G12" s="109"/>
      <c r="AU12" s="362">
        <v>38627.36595370642</v>
      </c>
      <c r="AV12" s="115">
        <v>44129.475534720186</v>
      </c>
      <c r="AW12" s="115">
        <v>57380.10547905069</v>
      </c>
      <c r="AX12" s="115">
        <v>65937.15206563141</v>
      </c>
      <c r="AY12" s="358">
        <v>1340</v>
      </c>
      <c r="AZ12" s="363">
        <f>('Cost-Effectiveness Level'!$B$3*AU12)+('Cost-Effectiveness Level'!$C$3*AV12)+('Cost-Effectiveness Level'!$D$3*AW12)+('Cost-Effectiveness Level'!$E$3*AX12)</f>
        <v>47432.09493114562</v>
      </c>
      <c r="BA12" s="109"/>
      <c r="BB12" s="109"/>
      <c r="BC12" s="362">
        <v>37389.27629651334</v>
      </c>
      <c r="BD12" s="115">
        <v>42799.58980369177</v>
      </c>
      <c r="BE12" s="115">
        <v>55857.72048051568</v>
      </c>
      <c r="BF12" s="115">
        <v>64422.00410196308</v>
      </c>
      <c r="BG12" s="358">
        <v>1340</v>
      </c>
      <c r="BH12" s="363">
        <f>('Cost-Effectiveness Level'!$B$3*BC12)+('Cost-Effectiveness Level'!$C$3*BD12)+('Cost-Effectiveness Level'!$D$3*BE12)+('Cost-Effectiveness Level'!$E$3*BF12)</f>
        <v>46063.18048637563</v>
      </c>
      <c r="BI12" s="109"/>
      <c r="BJ12" s="109"/>
      <c r="BK12" s="362">
        <v>33480.164078523296</v>
      </c>
      <c r="BL12" s="115">
        <v>38460.03515968357</v>
      </c>
      <c r="BM12" s="115">
        <v>51108.29182537358</v>
      </c>
      <c r="BN12" s="115">
        <v>59444.76999707003</v>
      </c>
      <c r="BO12" s="358">
        <v>1340</v>
      </c>
      <c r="BP12" s="363">
        <f>('Cost-Effectiveness Level'!$B$3*BK12)+('Cost-Effectiveness Level'!$C$3*BL12)+('Cost-Effectiveness Level'!$D$3*BM12)+('Cost-Effectiveness Level'!$E$3*BN12)</f>
        <v>41675.361851743335</v>
      </c>
    </row>
    <row r="13" spans="1:68" ht="21" customHeight="1" thickBot="1">
      <c r="A13" s="259" t="s">
        <v>193</v>
      </c>
      <c r="B13" s="273">
        <v>0</v>
      </c>
      <c r="C13" s="273">
        <v>0</v>
      </c>
      <c r="D13" s="273">
        <v>0</v>
      </c>
      <c r="E13" s="273">
        <v>1</v>
      </c>
      <c r="F13" s="274">
        <f t="shared" si="0"/>
        <v>1</v>
      </c>
      <c r="G13" s="109"/>
      <c r="R13" s="785" t="s">
        <v>578</v>
      </c>
      <c r="S13" s="786"/>
      <c r="T13" s="786"/>
      <c r="U13" s="786"/>
      <c r="V13" s="787"/>
      <c r="AU13" s="362">
        <v>37959.12686785819</v>
      </c>
      <c r="AV13" s="115">
        <v>43371.08116026956</v>
      </c>
      <c r="AW13" s="115">
        <v>56425.49077058307</v>
      </c>
      <c r="AX13" s="115">
        <v>64850.33694696749</v>
      </c>
      <c r="AY13" s="358">
        <v>1320</v>
      </c>
      <c r="AZ13" s="363">
        <f>('Cost-Effectiveness Level'!$B$3*AU13)+('Cost-Effectiveness Level'!$C$3*AV13)+('Cost-Effectiveness Level'!$D$3*AW13)+('Cost-Effectiveness Level'!$E$3*AX13)</f>
        <v>46626.255493700555</v>
      </c>
      <c r="BA13" s="109"/>
      <c r="BB13" s="109"/>
      <c r="BC13" s="362">
        <v>36724.05508350425</v>
      </c>
      <c r="BD13" s="115">
        <v>42044.12540287138</v>
      </c>
      <c r="BE13" s="115">
        <v>54906.29944330502</v>
      </c>
      <c r="BF13" s="115">
        <v>63338.03105772049</v>
      </c>
      <c r="BG13" s="358">
        <v>1320</v>
      </c>
      <c r="BH13" s="363">
        <f>('Cost-Effectiveness Level'!$B$3*BC13)+('Cost-Effectiveness Level'!$C$3*BD13)+('Cost-Effectiveness Level'!$D$3*BE13)+('Cost-Effectiveness Level'!$E$3*BF13)</f>
        <v>45260.35013184882</v>
      </c>
      <c r="BI13" s="109"/>
      <c r="BJ13" s="109"/>
      <c r="BK13" s="362">
        <v>32831.936712569586</v>
      </c>
      <c r="BL13" s="115">
        <v>37712.13009082918</v>
      </c>
      <c r="BM13" s="115">
        <v>50172.7805449751</v>
      </c>
      <c r="BN13" s="115">
        <v>58369.90917081747</v>
      </c>
      <c r="BO13" s="358">
        <v>1320</v>
      </c>
      <c r="BP13" s="363">
        <f>('Cost-Effectiveness Level'!$B$3*BK13)+('Cost-Effectiveness Level'!$C$3*BL13)+('Cost-Effectiveness Level'!$D$3*BM13)+('Cost-Effectiveness Level'!$E$3*BN13)</f>
        <v>40884.14298271315</v>
      </c>
    </row>
    <row r="14" spans="1:68" ht="15" thickBot="1">
      <c r="A14" s="275">
        <v>4</v>
      </c>
      <c r="B14" s="276">
        <v>1</v>
      </c>
      <c r="C14" s="276">
        <v>2</v>
      </c>
      <c r="D14" s="276">
        <v>3</v>
      </c>
      <c r="E14" s="276">
        <v>4</v>
      </c>
      <c r="F14" s="277"/>
      <c r="G14" s="109"/>
      <c r="AI14" t="s">
        <v>576</v>
      </c>
      <c r="AU14" s="362">
        <v>37291.18077937299</v>
      </c>
      <c r="AV14" s="115">
        <v>42612.68678581893</v>
      </c>
      <c r="AW14" s="115">
        <v>55471.13975974217</v>
      </c>
      <c r="AX14" s="115">
        <v>63763.66832698506</v>
      </c>
      <c r="AY14" s="358">
        <v>1300</v>
      </c>
      <c r="AZ14" s="363">
        <f>('Cost-Effectiveness Level'!$B$3*AU14)+('Cost-Effectiveness Level'!$C$3*AV14)+('Cost-Effectiveness Level'!$D$3*AW14)+('Cost-Effectiveness Level'!$E$3*AX14)</f>
        <v>45820.54790506886</v>
      </c>
      <c r="BA14" s="109"/>
      <c r="BB14" s="109"/>
      <c r="BC14" s="362">
        <v>36059.09756812189</v>
      </c>
      <c r="BD14" s="115">
        <v>41288.983299150306</v>
      </c>
      <c r="BE14" s="115">
        <v>53954.81980662174</v>
      </c>
      <c r="BF14" s="115">
        <v>62253.88221506007</v>
      </c>
      <c r="BG14" s="358">
        <v>1300</v>
      </c>
      <c r="BH14" s="363">
        <f>('Cost-Effectiveness Level'!$B$3*BC14)+('Cost-Effectiveness Level'!$C$3*BD14)+('Cost-Effectiveness Level'!$D$3*BE14)+('Cost-Effectiveness Level'!$E$3*BF14)</f>
        <v>44457.71022560797</v>
      </c>
      <c r="BI14" s="109"/>
      <c r="BJ14" s="109"/>
      <c r="BK14" s="362">
        <v>32185.584529739233</v>
      </c>
      <c r="BL14" s="115">
        <v>36965.719308526226</v>
      </c>
      <c r="BM14" s="115">
        <v>49237.562261939645</v>
      </c>
      <c r="BN14" s="115">
        <v>57295.19484324641</v>
      </c>
      <c r="BO14" s="358">
        <v>1300</v>
      </c>
      <c r="BP14" s="363">
        <f>('Cost-Effectiveness Level'!$B$3*BK14)+('Cost-Effectiveness Level'!$C$3*BL14)+('Cost-Effectiveness Level'!$D$3*BM14)+('Cost-Effectiveness Level'!$E$3*BN14)</f>
        <v>40094.1268678582</v>
      </c>
    </row>
    <row r="15" spans="1:68" ht="15" thickBot="1">
      <c r="A15" s="278"/>
      <c r="B15" s="279"/>
      <c r="C15" s="279"/>
      <c r="D15" s="279"/>
      <c r="E15" s="279"/>
      <c r="F15" s="280"/>
      <c r="G15" s="109"/>
      <c r="AI15" t="s">
        <v>577</v>
      </c>
      <c r="AU15" s="362">
        <v>36623.52768825081</v>
      </c>
      <c r="AV15" s="115">
        <v>41854.38031057721</v>
      </c>
      <c r="AW15" s="115">
        <v>54516.84734837387</v>
      </c>
      <c r="AX15" s="115">
        <v>62677.46850278348</v>
      </c>
      <c r="AY15" s="358">
        <v>1280</v>
      </c>
      <c r="AZ15" s="363">
        <f>('Cost-Effectiveness Level'!$B$3*AU15)+('Cost-Effectiveness Level'!$C$3*AV15)+('Cost-Effectiveness Level'!$D$3*AW15)+('Cost-Effectiveness Level'!$E$3*AX15)</f>
        <v>45014.980955171406</v>
      </c>
      <c r="BA15" s="109"/>
      <c r="BB15" s="109"/>
      <c r="BC15" s="362">
        <v>35394.462349838854</v>
      </c>
      <c r="BD15" s="115">
        <v>40534.046293583364</v>
      </c>
      <c r="BE15" s="115">
        <v>53004.04336360973</v>
      </c>
      <c r="BF15" s="115">
        <v>61170.46586580721</v>
      </c>
      <c r="BG15" s="358">
        <v>1280</v>
      </c>
      <c r="BH15" s="363">
        <f>('Cost-Effectiveness Level'!$B$3*BC15)+('Cost-Effectiveness Level'!$C$3*BD15)+('Cost-Effectiveness Level'!$D$3*BE15)+('Cost-Effectiveness Level'!$E$3*BF15)</f>
        <v>43655.44975095225</v>
      </c>
      <c r="BI15" s="109"/>
      <c r="BJ15" s="109"/>
      <c r="BK15" s="362">
        <v>31540.785232932903</v>
      </c>
      <c r="BL15" s="115">
        <v>36220.71491356578</v>
      </c>
      <c r="BM15" s="115">
        <v>48302.92997363024</v>
      </c>
      <c r="BN15" s="115">
        <v>56221.359507764435</v>
      </c>
      <c r="BO15" s="358">
        <v>1280</v>
      </c>
      <c r="BP15" s="363">
        <f>('Cost-Effectiveness Level'!$B$3*BK15)+('Cost-Effectiveness Level'!$C$3*BL15)+('Cost-Effectiveness Level'!$D$3*BM15)+('Cost-Effectiveness Level'!$E$3*BN15)</f>
        <v>39305.31497216525</v>
      </c>
    </row>
    <row r="16" spans="1:68" ht="15" thickBot="1">
      <c r="A16" s="790" t="s">
        <v>462</v>
      </c>
      <c r="B16" s="791"/>
      <c r="C16" s="791"/>
      <c r="D16" s="791"/>
      <c r="E16" s="791"/>
      <c r="F16" s="792"/>
      <c r="G16" s="109"/>
      <c r="AI16">
        <v>2</v>
      </c>
      <c r="AU16" s="362">
        <v>35956.16759449165</v>
      </c>
      <c r="AV16" s="115">
        <v>41096.2496337533</v>
      </c>
      <c r="AW16" s="115">
        <v>53562.84793436859</v>
      </c>
      <c r="AX16" s="115">
        <v>61591.67887489013</v>
      </c>
      <c r="AY16" s="358">
        <v>1260</v>
      </c>
      <c r="AZ16" s="363">
        <f>('Cost-Effectiveness Level'!$B$3*AU16)+('Cost-Effectiveness Level'!$C$3*AV16)+('Cost-Effectiveness Level'!$D$3*AW16)+('Cost-Effectiveness Level'!$E$3*AX16)</f>
        <v>44209.65426311163</v>
      </c>
      <c r="BA16" s="109"/>
      <c r="BB16" s="109"/>
      <c r="BC16" s="362">
        <v>34730.38382654556</v>
      </c>
      <c r="BD16" s="115">
        <v>39779.07998828011</v>
      </c>
      <c r="BE16" s="115">
        <v>52054.38031057721</v>
      </c>
      <c r="BF16" s="115">
        <v>60087.43041312628</v>
      </c>
      <c r="BG16" s="358">
        <v>1260</v>
      </c>
      <c r="BH16" s="363">
        <f>('Cost-Effectiveness Level'!$B$3*BC16)+('Cost-Effectiveness Level'!$C$3*BD16)+('Cost-Effectiveness Level'!$D$3*BE16)+('Cost-Effectiveness Level'!$E$3*BF16)</f>
        <v>42853.58335774978</v>
      </c>
      <c r="BI16" s="109"/>
      <c r="BJ16" s="109"/>
      <c r="BK16" s="362">
        <v>30898.505713448583</v>
      </c>
      <c r="BL16" s="115">
        <v>35476.20861412248</v>
      </c>
      <c r="BM16" s="115">
        <v>47370.524465279814</v>
      </c>
      <c r="BN16" s="115">
        <v>55147.34837386464</v>
      </c>
      <c r="BO16" s="358">
        <v>1260</v>
      </c>
      <c r="BP16" s="363">
        <f>('Cost-Effectiveness Level'!$B$3*BK16)+('Cost-Effectiveness Level'!$C$3*BL16)+('Cost-Effectiveness Level'!$D$3*BM16)+('Cost-Effectiveness Level'!$E$3*BN16)</f>
        <v>38517.80398476415</v>
      </c>
    </row>
    <row r="17" spans="7:68" ht="15" thickBot="1">
      <c r="G17" s="109"/>
      <c r="AU17" s="362">
        <v>35288.8953999414</v>
      </c>
      <c r="AV17" s="115">
        <v>40338.79285086434</v>
      </c>
      <c r="AW17" s="115">
        <v>52609.024318781136</v>
      </c>
      <c r="AX17" s="115">
        <v>60505.80134778787</v>
      </c>
      <c r="AY17" s="358">
        <v>1240</v>
      </c>
      <c r="AZ17" s="363">
        <f>('Cost-Effectiveness Level'!$B$3*AU17)+('Cost-Effectiveness Level'!$C$3*AV17)+('Cost-Effectiveness Level'!$D$3*AW17)+('Cost-Effectiveness Level'!$E$3*AX17)</f>
        <v>43404.721652505126</v>
      </c>
      <c r="BA17" s="109"/>
      <c r="BB17" s="109"/>
      <c r="BC17" s="362">
        <v>34066.451801933785</v>
      </c>
      <c r="BD17" s="115">
        <v>39024.31878113097</v>
      </c>
      <c r="BE17" s="115">
        <v>51104.68795780838</v>
      </c>
      <c r="BF17" s="115">
        <v>59004.424260181666</v>
      </c>
      <c r="BG17" s="358">
        <v>1240</v>
      </c>
      <c r="BH17" s="363">
        <f>('Cost-Effectiveness Level'!$B$3*BC17)+('Cost-Effectiveness Level'!$C$3*BD17)+('Cost-Effectiveness Level'!$D$3*BE17)+('Cost-Effectiveness Level'!$E$3*BF17)</f>
        <v>42051.84295341342</v>
      </c>
      <c r="BI17" s="109"/>
      <c r="BJ17" s="109"/>
      <c r="BK17" s="362">
        <v>30256.841488426606</v>
      </c>
      <c r="BL17" s="115">
        <v>34734.10489305596</v>
      </c>
      <c r="BM17" s="115">
        <v>46439.14444769997</v>
      </c>
      <c r="BN17" s="115">
        <v>54073.33723996484</v>
      </c>
      <c r="BO17" s="358">
        <v>1240</v>
      </c>
      <c r="BP17" s="363">
        <f>('Cost-Effectiveness Level'!$B$3*BK17)+('Cost-Effectiveness Level'!$C$3*BL17)+('Cost-Effectiveness Level'!$D$3*BM17)+('Cost-Effectiveness Level'!$E$3*BN17)</f>
        <v>37731.87371813654</v>
      </c>
    </row>
    <row r="18" spans="1:68" ht="15" thickBot="1">
      <c r="A18" s="781" t="s">
        <v>501</v>
      </c>
      <c r="B18" s="782"/>
      <c r="C18" s="782"/>
      <c r="D18" s="782"/>
      <c r="E18" s="782"/>
      <c r="F18" s="782"/>
      <c r="G18" s="782"/>
      <c r="H18" s="782"/>
      <c r="I18" s="782"/>
      <c r="J18" s="782"/>
      <c r="K18" s="782"/>
      <c r="L18" s="782"/>
      <c r="M18" s="782"/>
      <c r="N18" s="782"/>
      <c r="O18" s="782"/>
      <c r="P18" s="783"/>
      <c r="AU18" s="362">
        <v>34621.62320539115</v>
      </c>
      <c r="AV18" s="115">
        <v>39581.5411661295</v>
      </c>
      <c r="AW18" s="115">
        <v>51655.25930266628</v>
      </c>
      <c r="AX18" s="115">
        <v>59420.04101963083</v>
      </c>
      <c r="AY18" s="358">
        <v>1220</v>
      </c>
      <c r="AZ18" s="363">
        <f>('Cost-Effectiveness Level'!$B$3*AU18)+('Cost-Effectiveness Level'!$C$3*AV18)+('Cost-Effectiveness Level'!$D$3*AW18)+('Cost-Effectiveness Level'!$E$3*AX18)</f>
        <v>42599.912100791094</v>
      </c>
      <c r="BA18" s="109"/>
      <c r="BB18" s="109"/>
      <c r="BC18" s="362">
        <v>33402.98857310284</v>
      </c>
      <c r="BD18" s="115">
        <v>38269.99707002637</v>
      </c>
      <c r="BE18" s="115">
        <v>50155.28860240258</v>
      </c>
      <c r="BF18" s="115">
        <v>57921.97480222679</v>
      </c>
      <c r="BG18" s="358">
        <v>1220</v>
      </c>
      <c r="BH18" s="363">
        <f>('Cost-Effectiveness Level'!$B$3*BC18)+('Cost-Effectiveness Level'!$C$3*BD18)+('Cost-Effectiveness Level'!$D$3*BE18)+('Cost-Effectiveness Level'!$E$3*BF18)</f>
        <v>41250.517140345735</v>
      </c>
      <c r="BI18" s="109"/>
      <c r="BJ18" s="109"/>
      <c r="BK18" s="362">
        <v>29616.17345443891</v>
      </c>
      <c r="BL18" s="115">
        <v>33993.58335774978</v>
      </c>
      <c r="BM18" s="115">
        <v>45507.38353354821</v>
      </c>
      <c r="BN18" s="115">
        <v>53001.67008496924</v>
      </c>
      <c r="BO18" s="358">
        <v>1220</v>
      </c>
      <c r="BP18" s="363">
        <f>('Cost-Effectiveness Level'!$B$3*BK18)+('Cost-Effectiveness Level'!$C$3*BL18)+('Cost-Effectiveness Level'!$D$3*BM18)+('Cost-Effectiveness Level'!$E$3*BN18)</f>
        <v>36946.95575739819</v>
      </c>
    </row>
    <row r="19" spans="1:68" ht="15" thickBot="1">
      <c r="A19" s="281"/>
      <c r="B19" s="765" t="s">
        <v>463</v>
      </c>
      <c r="C19" s="766"/>
      <c r="D19" s="767"/>
      <c r="E19" s="764" t="s">
        <v>464</v>
      </c>
      <c r="F19" s="762"/>
      <c r="G19" s="762"/>
      <c r="H19" s="763"/>
      <c r="I19" s="761" t="s">
        <v>465</v>
      </c>
      <c r="J19" s="762"/>
      <c r="K19" s="762"/>
      <c r="L19" s="763"/>
      <c r="M19" s="784" t="s">
        <v>581</v>
      </c>
      <c r="N19" s="762"/>
      <c r="O19" s="762"/>
      <c r="P19" s="763"/>
      <c r="R19" s="747" t="s">
        <v>472</v>
      </c>
      <c r="S19" s="748"/>
      <c r="T19" s="748"/>
      <c r="U19" s="748"/>
      <c r="V19" s="749"/>
      <c r="AU19" s="362">
        <v>33954.52680925872</v>
      </c>
      <c r="AV19" s="115">
        <v>38824.14298271316</v>
      </c>
      <c r="AW19" s="115">
        <v>50701.55288602403</v>
      </c>
      <c r="AX19" s="115">
        <v>58334.573688836805</v>
      </c>
      <c r="AY19" s="358">
        <v>1200</v>
      </c>
      <c r="AZ19" s="363">
        <f>('Cost-Effectiveness Level'!$B$3*AU19)+('Cost-Effectiveness Level'!$C$3*AV19)+('Cost-Effectiveness Level'!$D$3*AW19)+('Cost-Effectiveness Level'!$E$3*AX19)</f>
        <v>41795.093759156174</v>
      </c>
      <c r="BA19" s="109"/>
      <c r="BB19" s="109"/>
      <c r="BC19" s="362">
        <v>32739.96484031644</v>
      </c>
      <c r="BD19" s="115">
        <v>37515.558159976565</v>
      </c>
      <c r="BE19" s="115">
        <v>49205.85994726048</v>
      </c>
      <c r="BF19" s="115">
        <v>56839.496044535605</v>
      </c>
      <c r="BG19" s="358">
        <v>1200</v>
      </c>
      <c r="BH19" s="363">
        <f>('Cost-Effectiveness Level'!$B$3*BC19)+('Cost-Effectiveness Level'!$C$3*BD19)+('Cost-Effectiveness Level'!$D$3*BE19)+('Cost-Effectiveness Level'!$E$3*BF19)</f>
        <v>40449.21183709347</v>
      </c>
      <c r="BI19" s="109"/>
      <c r="BJ19" s="109"/>
      <c r="BK19" s="362">
        <v>28976.062115440964</v>
      </c>
      <c r="BL19" s="115">
        <v>33253.618517433344</v>
      </c>
      <c r="BM19" s="115">
        <v>44576.91180779373</v>
      </c>
      <c r="BN19" s="115">
        <v>51931.14561968943</v>
      </c>
      <c r="BO19" s="358">
        <v>1200</v>
      </c>
      <c r="BP19" s="363">
        <f>('Cost-Effectiveness Level'!$B$3*BK19)+('Cost-Effectiveness Level'!$C$3*BL19)+('Cost-Effectiveness Level'!$D$3*BM19)+('Cost-Effectiveness Level'!$E$3*BN19)</f>
        <v>36162.80691473777</v>
      </c>
    </row>
    <row r="20" spans="1:93" ht="51.75" thickBot="1">
      <c r="A20" s="282" t="s">
        <v>466</v>
      </c>
      <c r="B20" s="542">
        <f>I2</f>
        <v>850</v>
      </c>
      <c r="C20" s="542">
        <f>J2</f>
        <v>1350</v>
      </c>
      <c r="D20" s="542">
        <f>K2</f>
        <v>2184</v>
      </c>
      <c r="E20" s="542">
        <f>I2</f>
        <v>850</v>
      </c>
      <c r="F20" s="542">
        <f>J2</f>
        <v>1350</v>
      </c>
      <c r="G20" s="542">
        <f>K2</f>
        <v>2184</v>
      </c>
      <c r="H20" s="283" t="s">
        <v>467</v>
      </c>
      <c r="I20" s="542">
        <f>I2</f>
        <v>850</v>
      </c>
      <c r="J20" s="542">
        <f>J2</f>
        <v>1350</v>
      </c>
      <c r="K20" s="542">
        <f>K2</f>
        <v>2184</v>
      </c>
      <c r="L20" s="546" t="s">
        <v>468</v>
      </c>
      <c r="M20" s="542">
        <f>I20</f>
        <v>850</v>
      </c>
      <c r="N20" s="542">
        <f>J20</f>
        <v>1350</v>
      </c>
      <c r="O20" s="542">
        <f>K20</f>
        <v>2184</v>
      </c>
      <c r="P20" s="542" t="s">
        <v>582</v>
      </c>
      <c r="R20" s="296" t="s">
        <v>123</v>
      </c>
      <c r="S20" s="296" t="s">
        <v>473</v>
      </c>
      <c r="T20" s="296" t="s">
        <v>474</v>
      </c>
      <c r="U20" s="296" t="s">
        <v>475</v>
      </c>
      <c r="V20" s="296" t="s">
        <v>471</v>
      </c>
      <c r="AU20" s="362">
        <v>33287.84060943451</v>
      </c>
      <c r="AV20" s="115">
        <v>38066.803398769414</v>
      </c>
      <c r="AW20" s="115">
        <v>49747.817169645474</v>
      </c>
      <c r="AX20" s="115">
        <v>57249.39935540581</v>
      </c>
      <c r="AY20" s="358">
        <v>1180</v>
      </c>
      <c r="AZ20" s="363">
        <f>('Cost-Effectiveness Level'!$B$3*AU20)+('Cost-Effectiveness Level'!$C$3*AV20)+('Cost-Effectiveness Level'!$D$3*AW20)+('Cost-Effectiveness Level'!$E$3*AX20)</f>
        <v>40990.39408145327</v>
      </c>
      <c r="BA20" s="109"/>
      <c r="BB20" s="109"/>
      <c r="BC20" s="362">
        <v>32077.468502783475</v>
      </c>
      <c r="BD20" s="115">
        <v>36761.002050981544</v>
      </c>
      <c r="BE20" s="115">
        <v>48256.548491063586</v>
      </c>
      <c r="BF20" s="115">
        <v>55757.01728684443</v>
      </c>
      <c r="BG20" s="358">
        <v>1180</v>
      </c>
      <c r="BH20" s="363">
        <f>('Cost-Effectiveness Level'!$B$3*BC20)+('Cost-Effectiveness Level'!$C$3*BD20)+('Cost-Effectiveness Level'!$D$3*BE20)+('Cost-Effectiveness Level'!$E$3*BF20)</f>
        <v>39647.98271315559</v>
      </c>
      <c r="BI20" s="109"/>
      <c r="BJ20" s="109"/>
      <c r="BK20" s="362">
        <v>28336.771169059477</v>
      </c>
      <c r="BL20" s="115">
        <v>32514.913565777908</v>
      </c>
      <c r="BM20" s="115">
        <v>43647.55347201876</v>
      </c>
      <c r="BN20" s="115">
        <v>50861.58804570759</v>
      </c>
      <c r="BO20" s="358">
        <v>1180</v>
      </c>
      <c r="BP20" s="363">
        <f>('Cost-Effectiveness Level'!$B$3*BK20)+('Cost-Effectiveness Level'!$C$3*BL20)+('Cost-Effectiveness Level'!$D$3*BM20)+('Cost-Effectiveness Level'!$E$3*BN20)</f>
        <v>35379.77878699092</v>
      </c>
      <c r="BS20" s="768" t="s">
        <v>595</v>
      </c>
      <c r="BT20" s="769"/>
      <c r="BU20" s="769"/>
      <c r="BV20" s="769"/>
      <c r="BW20" s="769"/>
      <c r="BX20" s="770"/>
      <c r="CK20" s="5" t="s">
        <v>597</v>
      </c>
      <c r="CL20" s="5" t="s">
        <v>598</v>
      </c>
      <c r="CM20" s="5"/>
      <c r="CN20" s="5"/>
      <c r="CO20" s="5"/>
    </row>
    <row r="21" spans="1:93" ht="13.5" customHeight="1" thickBot="1">
      <c r="A21" s="548" t="s">
        <v>0</v>
      </c>
      <c r="B21" s="550">
        <f>'UA Optimizer'!U44</f>
        <v>530.4635641082923</v>
      </c>
      <c r="C21" s="550">
        <f>'UA Optimizer'!AA44</f>
        <v>794.2652617599339</v>
      </c>
      <c r="D21" s="550">
        <f>'UA Optimizer'!AG44</f>
        <v>1221.9496922011876</v>
      </c>
      <c r="E21" s="551">
        <f ca="1">IF(ISNA(INDEX($AY$4:$AZ$72,MATCH(B21,$AY$4:$AY$72,0),1)),TREND(OFFSET(INDEX($AY$4:$AZ$72,MATCH(B21,$AY$4:$AY$72,-1),2),0,0,2,1),OFFSET(INDEX($AY$4:$AZ$72,MATCH(B21,$AY$4:$AY$72,-1),1),0,0,2,1),B21),INDEX($AY$4:$AZ$72,MATCH(B21,$AY$4:$AY$72,0),2))</f>
        <v>15070.122043760688</v>
      </c>
      <c r="F21" s="551">
        <f ca="1">IF(ISNA(INDEX($BG$4:$BH$72,MATCH(C21,$BG$4:$BG$72,0),1)),TREND(OFFSET(INDEX($BG$4:$BH$72,MATCH(C21,$BG$4:$BG$72,-1),2),0,0,2,1),OFFSET(INDEX($BG$4:$BH$72,MATCH(C21,$BG$4:$BG$72,-1),1),0,0,2,1),C21),INDEX($BG$4:$BH$72,MATCH(C21,$BG$4:$BG$72,0),2))</f>
        <v>24266.96822698453</v>
      </c>
      <c r="G21" s="551">
        <f ca="1">IF(ISNA(INDEX($BO$4:$BP$72,MATCH(D21,$BO$4:$BO$72,0),1)),TREND(OFFSET(INDEX($BO$4:$BP$72,MATCH(D21,$BO$4:$BO$72,-1),2),0,0,2,1),OFFSET(INDEX($BO$4:$BP$72,MATCH(D21,$BO$4:$BO$72,-1),1),0,0,2,1),D21),INDEX($BO$4:$BP$72,MATCH(D21,$BO$4:$BO$72,0),2))</f>
        <v>37023.47317872868</v>
      </c>
      <c r="H21" s="549">
        <f>SUMPRODUCT(E21:G21,$I$3:$K$3)</f>
        <v>27785.331070072305</v>
      </c>
      <c r="I21" s="293"/>
      <c r="J21" s="294"/>
      <c r="K21" s="295"/>
      <c r="L21" s="547"/>
      <c r="M21" s="293"/>
      <c r="N21" s="294"/>
      <c r="O21" s="295"/>
      <c r="P21" s="547"/>
      <c r="R21" s="297" t="s">
        <v>207</v>
      </c>
      <c r="S21" s="298">
        <v>9228.326862539321</v>
      </c>
      <c r="T21" s="299">
        <v>7579.385349715202</v>
      </c>
      <c r="U21" s="299">
        <v>1648.9415128241205</v>
      </c>
      <c r="V21" s="645">
        <v>1550.7262716482146</v>
      </c>
      <c r="AU21" s="362">
        <v>32621.388807500734</v>
      </c>
      <c r="AV21" s="115">
        <v>37309.8447113976</v>
      </c>
      <c r="AW21" s="115">
        <v>48794.257251684736</v>
      </c>
      <c r="AX21" s="115">
        <v>56164.342220920014</v>
      </c>
      <c r="AY21" s="358">
        <v>1160</v>
      </c>
      <c r="AZ21" s="363">
        <f>('Cost-Effectiveness Level'!$B$3*AU21)+('Cost-Effectiveness Level'!$C$3*AV21)+('Cost-Effectiveness Level'!$D$3*AW21)+('Cost-Effectiveness Level'!$E$3*AX21)</f>
        <v>40185.98154116613</v>
      </c>
      <c r="BA21" s="109"/>
      <c r="BB21" s="109"/>
      <c r="BC21" s="362">
        <v>31415.29446234984</v>
      </c>
      <c r="BD21" s="115">
        <v>36006.44594198652</v>
      </c>
      <c r="BE21" s="115">
        <v>47307.20773513039</v>
      </c>
      <c r="BF21" s="115">
        <v>54674.65572809845</v>
      </c>
      <c r="BG21" s="358">
        <v>1160</v>
      </c>
      <c r="BH21" s="363">
        <f>('Cost-Effectiveness Level'!$B$3*BC21)+('Cost-Effectiveness Level'!$C$3*BD21)+('Cost-Effectiveness Level'!$D$3*BE21)+('Cost-Effectiveness Level'!$E$3*BF21)</f>
        <v>38846.81658365075</v>
      </c>
      <c r="BI21" s="109"/>
      <c r="BJ21" s="109"/>
      <c r="BK21" s="362">
        <v>27698.7694110753</v>
      </c>
      <c r="BL21" s="115">
        <v>31777.38060357457</v>
      </c>
      <c r="BM21" s="115">
        <v>42719.220627014365</v>
      </c>
      <c r="BN21" s="115">
        <v>49791.88397304425</v>
      </c>
      <c r="BO21" s="358">
        <v>1160</v>
      </c>
      <c r="BP21" s="363">
        <f>('Cost-Effectiveness Level'!$B$3*BK21)+('Cost-Effectiveness Level'!$C$3*BL21)+('Cost-Effectiveness Level'!$D$3*BM21)+('Cost-Effectiveness Level'!$E$3*BN21)</f>
        <v>34597.843539408146</v>
      </c>
      <c r="BS21" s="558" t="s">
        <v>591</v>
      </c>
      <c r="BT21" s="255" t="s">
        <v>586</v>
      </c>
      <c r="BU21" s="255" t="s">
        <v>586</v>
      </c>
      <c r="BV21" s="255" t="s">
        <v>586</v>
      </c>
      <c r="BW21" s="255" t="s">
        <v>587</v>
      </c>
      <c r="BX21" s="255" t="s">
        <v>587</v>
      </c>
      <c r="BY21" s="255" t="s">
        <v>587</v>
      </c>
      <c r="BZ21" s="255" t="s">
        <v>584</v>
      </c>
      <c r="CA21" s="255" t="s">
        <v>584</v>
      </c>
      <c r="CB21" s="255" t="s">
        <v>584</v>
      </c>
      <c r="CC21" s="255" t="s">
        <v>588</v>
      </c>
      <c r="CD21" s="255" t="s">
        <v>588</v>
      </c>
      <c r="CE21" s="255" t="s">
        <v>588</v>
      </c>
      <c r="CF21" s="255" t="s">
        <v>585</v>
      </c>
      <c r="CG21" s="255" t="s">
        <v>585</v>
      </c>
      <c r="CH21" s="255" t="s">
        <v>585</v>
      </c>
      <c r="CJ21" s="708" t="s">
        <v>123</v>
      </c>
      <c r="CK21" s="709" t="s">
        <v>586</v>
      </c>
      <c r="CL21" s="710" t="s">
        <v>587</v>
      </c>
      <c r="CM21" s="710" t="s">
        <v>584</v>
      </c>
      <c r="CN21" s="710" t="s">
        <v>588</v>
      </c>
      <c r="CO21" s="711" t="s">
        <v>585</v>
      </c>
    </row>
    <row r="22" spans="1:93" ht="15" thickBot="1">
      <c r="A22" s="679" t="s">
        <v>579</v>
      </c>
      <c r="B22" s="543">
        <f>'UA Optimizer'!B91</f>
        <v>338.7897080291971</v>
      </c>
      <c r="C22" s="543">
        <f>'UA Optimizer'!C91</f>
        <v>495.94268613138684</v>
      </c>
      <c r="D22" s="543">
        <f>'UA Optimizer'!D91</f>
        <v>815.8197109489049</v>
      </c>
      <c r="E22" s="544">
        <f ca="1">IF(ISNA(INDEX($AY$4:$AZ$72,MATCH(B22,$AY$4:$AY$72,0),1)),TREND(OFFSET(INDEX($AY$4:$AZ$72,MATCH(B22,$AY$4:$AY$72,-1),2),0,0,2,1),OFFSET(INDEX($AY$4:$AZ$72,MATCH(B22,$AY$4:$AY$72,-1),1),0,0,2,1),B22),INDEX($AY$4:$AZ$72,MATCH(B22,$AY$4:$AY$72,0),2))</f>
        <v>7735.810539275577</v>
      </c>
      <c r="F22" s="544">
        <f ca="1">IF(ISNA(INDEX($BG$4:$BH$72,MATCH(C22,$BG$4:$BG$72,0),1)),TREND(OFFSET(INDEX($BG$4:$BH$72,MATCH(C22,$BG$4:$BG$72,-1),2),0,0,2,1),OFFSET(INDEX($BG$4:$BH$72,MATCH(C22,$BG$4:$BG$72,-1),1),0,0,2,1),C22),INDEX($BG$4:$BH$72,MATCH(C22,$BG$4:$BG$72,0),2))</f>
        <v>12668.521952820971</v>
      </c>
      <c r="G22" s="545">
        <f ca="1">IF(ISNA(INDEX($BO$4:$BP$72,MATCH(D22,$BO$4:$BO$72,0),1)),TREND(OFFSET(INDEX($BO$4:$BP$72,MATCH(D22,$BO$4:$BO$72,-1),2),0,0,2,1),OFFSET(INDEX($BO$4:$BP$72,MATCH(D22,$BO$4:$BO$72,-1),1),0,0,2,1),D22),INDEX($BO$4:$BP$72,MATCH(D22,$BO$4:$BO$72,0),2))</f>
        <v>21339.210202243463</v>
      </c>
      <c r="H22" s="681">
        <f>SUMPRODUCT(E22:G22,$I$3:$K$3)</f>
        <v>15323.668734869338</v>
      </c>
      <c r="I22" s="682">
        <f aca="true" t="shared" si="3" ref="I22:K23">E21-E22</f>
        <v>7334.311504485111</v>
      </c>
      <c r="J22" s="682">
        <f t="shared" si="3"/>
        <v>11598.446274163558</v>
      </c>
      <c r="K22" s="682">
        <f t="shared" si="3"/>
        <v>15684.262976485217</v>
      </c>
      <c r="L22" s="681">
        <f>SUMPRODUCT(I22:K22,$I$3:$K$3)</f>
        <v>12461.662335202966</v>
      </c>
      <c r="M22" s="683">
        <f>(-0.000173*('Cost-Effectiveness Level'!$B22^3)+0.23079*('Cost-Effectiveness Level'!$B22^2)-111.685715*'Cost-Effectiveness Level'!$B22+20077.668275)</f>
        <v>2002.18271688218</v>
      </c>
      <c r="N22" s="683">
        <f>-0.0000831*('Cost-Effectiveness Level'!$C22^3)+0.1631576*('Cost-Effectiveness Level'!$C22^2)-115.2334046*'Cost-Effectiveness Level'!$C22+30121.2586611</f>
        <v>2965.5243998767</v>
      </c>
      <c r="O22" s="683">
        <f>(-0.00003*('Cost-Effectiveness Level'!$D22^3)+0.101522*('Cost-Effectiveness Level'!$D22^2)-120.534604*'Cost-Effectiveness Level'!$D22+49652.734713)</f>
        <v>2598.0409786790333</v>
      </c>
      <c r="P22" s="683">
        <f>SUMPRODUCT(M22:O22,$I$3:$K$3)</f>
        <v>2618.513026374776</v>
      </c>
      <c r="R22" s="300" t="s">
        <v>208</v>
      </c>
      <c r="S22" s="301">
        <v>13019.477144430643</v>
      </c>
      <c r="T22" s="302">
        <v>10872.551418754543</v>
      </c>
      <c r="U22" s="302">
        <v>2146.925725676101</v>
      </c>
      <c r="V22" s="303">
        <v>1550.7262716482146</v>
      </c>
      <c r="AU22" s="362">
        <v>31954.995605039556</v>
      </c>
      <c r="AV22" s="115">
        <v>36553.061822443604</v>
      </c>
      <c r="AW22" s="115">
        <v>47840.580134778786</v>
      </c>
      <c r="AX22" s="115">
        <v>55079.57808379725</v>
      </c>
      <c r="AY22" s="358">
        <v>1140</v>
      </c>
      <c r="AZ22" s="363">
        <f>('Cost-Effectiveness Level'!$B$3*AU22)+('Cost-Effectiveness Level'!$C$3*AV22)+('Cost-Effectiveness Level'!$D$3*AW22)+('Cost-Effectiveness Level'!$E$3*AX22)</f>
        <v>39381.65397011427</v>
      </c>
      <c r="BA22" s="109"/>
      <c r="BB22" s="109"/>
      <c r="BC22" s="362">
        <v>30753.735716378553</v>
      </c>
      <c r="BD22" s="115">
        <v>35252.41722824495</v>
      </c>
      <c r="BE22" s="115">
        <v>46357.72048051568</v>
      </c>
      <c r="BF22" s="115">
        <v>53592.645766188114</v>
      </c>
      <c r="BG22" s="358">
        <v>1140</v>
      </c>
      <c r="BH22" s="363">
        <f>('Cost-Effectiveness Level'!$B$3*BC22)+('Cost-Effectiveness Level'!$C$3*BD22)+('Cost-Effectiveness Level'!$D$3*BE22)+('Cost-Effectiveness Level'!$E$3*BF22)</f>
        <v>38046.01816583651</v>
      </c>
      <c r="BI22" s="109"/>
      <c r="BJ22" s="109"/>
      <c r="BK22" s="362">
        <v>27061.7052446528</v>
      </c>
      <c r="BL22" s="115">
        <v>31041.136829768533</v>
      </c>
      <c r="BM22" s="115">
        <v>41791.00498095518</v>
      </c>
      <c r="BN22" s="115">
        <v>48722.12130090829</v>
      </c>
      <c r="BO22" s="358">
        <v>1140</v>
      </c>
      <c r="BP22" s="363">
        <f>('Cost-Effectiveness Level'!$B$3*BK22)+('Cost-Effectiveness Level'!$C$3*BL22)+('Cost-Effectiveness Level'!$D$3*BM22)+('Cost-Effectiveness Level'!$E$3*BN22)</f>
        <v>33816.76677409904</v>
      </c>
      <c r="BS22" s="558" t="s">
        <v>589</v>
      </c>
      <c r="BT22" s="562">
        <v>850</v>
      </c>
      <c r="BU22" s="562">
        <v>1350</v>
      </c>
      <c r="BV22" s="562">
        <v>2184</v>
      </c>
      <c r="BW22" s="562">
        <v>850</v>
      </c>
      <c r="BX22" s="562">
        <v>1350</v>
      </c>
      <c r="BY22" s="562">
        <v>2184</v>
      </c>
      <c r="BZ22" s="562">
        <v>850</v>
      </c>
      <c r="CA22" s="562">
        <v>1350</v>
      </c>
      <c r="CB22" s="562">
        <v>2184</v>
      </c>
      <c r="CC22" s="562">
        <v>850</v>
      </c>
      <c r="CD22" s="562">
        <v>1350</v>
      </c>
      <c r="CE22" s="562">
        <v>2184</v>
      </c>
      <c r="CF22" s="562">
        <v>850</v>
      </c>
      <c r="CG22" s="562">
        <v>1350</v>
      </c>
      <c r="CH22" s="562">
        <v>2184</v>
      </c>
      <c r="CJ22" s="5"/>
      <c r="CK22" s="705">
        <f>SUMPRODUCT($I$3:$K$3,BT22:BV22)</f>
        <v>1600.28</v>
      </c>
      <c r="CL22" s="706">
        <f>SUMPRODUCT($I$3:$K$3,BW22:BY22)</f>
        <v>1600.28</v>
      </c>
      <c r="CM22" s="706">
        <f>SUMPRODUCT($I$3:$K$3,BZ22:CB22)</f>
        <v>1600.28</v>
      </c>
      <c r="CN22" s="706">
        <f>SUMPRODUCT($I$3:$K$3,CC22:CE22)</f>
        <v>1600.28</v>
      </c>
      <c r="CO22" s="707">
        <f>SUMPRODUCT($I$3:$K$3,CF22:CH22)</f>
        <v>1600.28</v>
      </c>
    </row>
    <row r="23" spans="1:93" ht="15" thickBot="1">
      <c r="A23" s="680" t="s">
        <v>580</v>
      </c>
      <c r="B23" s="678">
        <f>'UA Optimizer'!B112</f>
        <v>273.7795397878741</v>
      </c>
      <c r="C23" s="678">
        <f>'UA Optimizer'!C112</f>
        <v>389.11878405767476</v>
      </c>
      <c r="D23" s="678">
        <f>'UA Optimizer'!D112</f>
        <v>613.4090560882945</v>
      </c>
      <c r="E23" s="544">
        <f ca="1">IF(ISNA(INDEX($AY$4:$AZ$72,MATCH(B23,$AY$4:$AY$72,0),1)),TREND(OFFSET(INDEX($AY$4:$AZ$72,MATCH(B23,$AY$4:$AY$72,-1),2),0,0,2,1),OFFSET(INDEX($AY$4:$AZ$72,MATCH(B23,$AY$4:$AY$72,-1),1),0,0,2,1),B23),INDEX($AY$4:$AZ$72,MATCH(B23,$AY$4:$AY$72,0),2))</f>
        <v>5390.262921511137</v>
      </c>
      <c r="F23" s="544">
        <f ca="1">IF(ISNA(INDEX($BG$4:$BH$72,MATCH(C23,$BG$4:$BG$72,0),1)),TREND(OFFSET(INDEX($BG$4:$BH$72,MATCH(C23,$BG$4:$BG$72,-1),2),0,0,2,1),OFFSET(INDEX($BG$4:$BH$72,MATCH(C23,$BG$4:$BG$72,-1),1),0,0,2,1),C23),INDEX($BG$4:$BH$72,MATCH(C23,$BG$4:$BG$72,0),2))</f>
        <v>8702.821218254569</v>
      </c>
      <c r="G23" s="545">
        <f ca="1">IF(ISNA(INDEX($BO$4:$BP$72,MATCH(D23,$BO$4:$BO$72,0),1)),TREND(OFFSET(INDEX($BO$4:$BP$72,MATCH(D23,$BO$4:$BO$72,-1),2),0,0,2,1),OFFSET(INDEX($BO$4:$BP$72,MATCH(D23,$BO$4:$BO$72,-1),1),0,0,2,1),D23),INDEX($BO$4:$BP$72,MATCH(D23,$BO$4:$BO$72,0),2))</f>
        <v>13887.035967875874</v>
      </c>
      <c r="H23" s="684">
        <f>SUMPRODUCT(E23:G23,$I$3:$K$3)</f>
        <v>10217.67975374683</v>
      </c>
      <c r="I23" s="685">
        <f t="shared" si="3"/>
        <v>2345.5476177644396</v>
      </c>
      <c r="J23" s="685">
        <f t="shared" si="3"/>
        <v>3965.7007345664024</v>
      </c>
      <c r="K23" s="685">
        <f>G22-G23</f>
        <v>7452.174234367589</v>
      </c>
      <c r="L23" s="686">
        <f>SUMPRODUCT(I23:K23,$I$3:$K$3)</f>
        <v>5105.9889811225075</v>
      </c>
      <c r="M23" s="687">
        <f>(-0.000173*('Cost-Effectiveness Level'!$B23^3)+0.23079*('Cost-Effectiveness Level'!$B23^2)-111.685715*'Cost-Effectiveness Level'!$B23+20077.668275)</f>
        <v>3249.1542795142777</v>
      </c>
      <c r="N23" s="688">
        <f>-0.0000831*('Cost-Effectiveness Level'!$C23^3)+0.1631576*('Cost-Effectiveness Level'!$C23^2)-115.2334046*'Cost-Effectiveness Level'!$C23+30121.2586611</f>
        <v>5089.957987161739</v>
      </c>
      <c r="O23" s="688">
        <f>(-0.00003*('Cost-Effectiveness Level'!$D23^3)+0.101522*('Cost-Effectiveness Level'!$D23^2)-120.534604*'Cost-Effectiveness Level'!$D23+49652.734713)</f>
        <v>6991.232919146234</v>
      </c>
      <c r="P23" s="688">
        <f>SUMPRODUCT(M23:O23,$I$3:$K$3)</f>
        <v>5520.332717065734</v>
      </c>
      <c r="R23" s="300" t="s">
        <v>209</v>
      </c>
      <c r="S23" s="301">
        <v>15221.028161974651</v>
      </c>
      <c r="T23" s="302">
        <v>12714.3828501494</v>
      </c>
      <c r="U23" s="302">
        <v>2506.6453118252502</v>
      </c>
      <c r="V23" s="303">
        <v>1616.1599719876394</v>
      </c>
      <c r="AU23" s="362">
        <v>31288.690301787286</v>
      </c>
      <c r="AV23" s="115">
        <v>35796.220334016994</v>
      </c>
      <c r="AW23" s="115">
        <v>46886.90301787284</v>
      </c>
      <c r="AX23" s="115">
        <v>53995.0190448286</v>
      </c>
      <c r="AY23" s="358">
        <v>1120</v>
      </c>
      <c r="AZ23" s="363">
        <f>('Cost-Effectiveness Level'!$B$3*AU23)+('Cost-Effectiveness Level'!$C$3*AV23)+('Cost-Effectiveness Level'!$D$3*AW23)+('Cost-Effectiveness Level'!$E$3*AX23)</f>
        <v>38577.3249340756</v>
      </c>
      <c r="BA23" s="109"/>
      <c r="BB23" s="109"/>
      <c r="BC23" s="362">
        <v>30092.616466451804</v>
      </c>
      <c r="BD23" s="115">
        <v>34498.828010547906</v>
      </c>
      <c r="BE23" s="115">
        <v>45408.20392616467</v>
      </c>
      <c r="BF23" s="115">
        <v>52511.63199531205</v>
      </c>
      <c r="BG23" s="358">
        <v>1120</v>
      </c>
      <c r="BH23" s="363">
        <f>('Cost-Effectiveness Level'!$B$3*BC23)+('Cost-Effectiveness Level'!$C$3*BD23)+('Cost-Effectiveness Level'!$D$3*BE23)+('Cost-Effectiveness Level'!$E$3*BF23)</f>
        <v>37245.56987987108</v>
      </c>
      <c r="BI23" s="109"/>
      <c r="BJ23" s="109"/>
      <c r="BK23" s="362">
        <v>26424.875476120716</v>
      </c>
      <c r="BL23" s="115">
        <v>30306.68033987694</v>
      </c>
      <c r="BM23" s="115">
        <v>40862.61353647817</v>
      </c>
      <c r="BN23" s="115">
        <v>47653.17902138881</v>
      </c>
      <c r="BO23" s="358">
        <v>1120</v>
      </c>
      <c r="BP23" s="363">
        <f>('Cost-Effectiveness Level'!$B$3*BK23)+('Cost-Effectiveness Level'!$C$3*BL23)+('Cost-Effectiveness Level'!$D$3*BM23)+('Cost-Effectiveness Level'!$E$3*BN23)</f>
        <v>33036.627600351596</v>
      </c>
      <c r="BS23" s="558" t="s">
        <v>594</v>
      </c>
      <c r="BT23" s="562">
        <f>B$24</f>
        <v>239.77999999999997</v>
      </c>
      <c r="BU23" s="563">
        <f>C$24</f>
        <v>340.1289999999999</v>
      </c>
      <c r="BV23" s="562">
        <f>D$24</f>
        <v>554.0052</v>
      </c>
      <c r="BW23" s="562">
        <f>B$24</f>
        <v>239.77999999999997</v>
      </c>
      <c r="BX23" s="563">
        <f>C$24</f>
        <v>340.1289999999999</v>
      </c>
      <c r="BY23" s="562">
        <f>D$24</f>
        <v>554.0052</v>
      </c>
      <c r="BZ23" s="562">
        <f>B$24</f>
        <v>239.77999999999997</v>
      </c>
      <c r="CA23" s="563">
        <f>C$24</f>
        <v>340.1289999999999</v>
      </c>
      <c r="CB23" s="562">
        <f>D$24</f>
        <v>554.0052</v>
      </c>
      <c r="CC23" s="562">
        <f>B$24</f>
        <v>239.77999999999997</v>
      </c>
      <c r="CD23" s="563">
        <f>C$24</f>
        <v>340.1289999999999</v>
      </c>
      <c r="CE23" s="562">
        <f>D$24</f>
        <v>554.0052</v>
      </c>
      <c r="CF23" s="562">
        <f>B$24</f>
        <v>239.77999999999997</v>
      </c>
      <c r="CG23" s="563">
        <f>C$24</f>
        <v>340.1289999999999</v>
      </c>
      <c r="CH23" s="562">
        <f>D$24</f>
        <v>554.0052</v>
      </c>
      <c r="CJ23" s="5"/>
      <c r="CK23" s="696">
        <f>SUMPRODUCT($I$3:$K$3,BT23:BV23)</f>
        <v>409.88720399999994</v>
      </c>
      <c r="CL23" s="697">
        <f>SUMPRODUCT($I$3:$K$3,BW23:BY23)</f>
        <v>409.88720399999994</v>
      </c>
      <c r="CM23" s="697">
        <f>SUMPRODUCT($I$3:$K$3,BZ23:CB23)</f>
        <v>409.88720399999994</v>
      </c>
      <c r="CN23" s="697">
        <f>SUMPRODUCT($I$3:$K$3,CC23:CE23)</f>
        <v>409.88720399999994</v>
      </c>
      <c r="CO23" s="698">
        <f>SUMPRODUCT($I$3:$K$3,CF23:CH23)</f>
        <v>409.88720399999994</v>
      </c>
    </row>
    <row r="24" spans="1:93" ht="15" thickBot="1">
      <c r="A24" s="284" t="s">
        <v>469</v>
      </c>
      <c r="B24" s="285">
        <f>INDEX(B27:B37,MATCH(TRUE,C27:C41,0))</f>
        <v>239.77999999999997</v>
      </c>
      <c r="C24" s="286">
        <f>INDEX(D27:D44,MATCH(TRUE,E27:E43,0))</f>
        <v>340.1289999999999</v>
      </c>
      <c r="D24" s="286">
        <f>INDEX(F27:F44,MATCH(TRUE,G27:G43,0))</f>
        <v>554.0052</v>
      </c>
      <c r="E24" s="522">
        <f ca="1">IF(ISNA(INDEX($AY$4:$AZ$72,MATCH(B24,$AY$4:$AY$72,0),1)),TREND(OFFSET(INDEX($AY$4:$AZ$72,MATCH(B24,$AY$4:$AY$72,-1),2),0,0,2,1),OFFSET(INDEX($AY$4:$AZ$72,MATCH(B24,$AY$4:$AY$72,-1),1),0,0,2,1),B24),INDEX($AY$4:$AZ$72,MATCH(B24,$AY$4:$AY$72,0),2))</f>
        <v>4209.98841488426</v>
      </c>
      <c r="F24" s="523">
        <f ca="1">IF(ISNA(INDEX($BG$4:$BH$72,MATCH(C24,$BG$4:$BG$72,0),1)),TREND(OFFSET(INDEX($BG$4:$BH$72,MATCH(C24,$BG$4:$BG$72,-1),2),0,0,2,1),OFFSET(INDEX($BG$4:$BH$72,MATCH(C24,$BG$4:$BG$72,-1),1),0,0,2,1),C24),INDEX($BG$4:$BH$72,MATCH(C24,$BG$4:$BG$72,0),2))</f>
        <v>6946.747809844722</v>
      </c>
      <c r="G24" s="523">
        <f ca="1">IF(ISNA(INDEX($BO$4:$BP$72,MATCH(D24,$BO$4:$BO$72,0),1)),TREND(OFFSET(INDEX($BO$4:$BP$72,MATCH(D24,$BO$4:$BO$72,-1),2),0,0,2,1),OFFSET(INDEX($BO$4:$BP$72,MATCH(D24,$BO$4:$BO$72,-1),1),0,0,2,1),D24),INDEX($BO$4:$BP$72,MATCH(D24,$BO$4:$BO$72,0),2))</f>
        <v>11787.77763776742</v>
      </c>
      <c r="H24" s="287">
        <f>SUMPRODUCT(E24:G24,$I$3:$K$3)</f>
        <v>8432.628458580162</v>
      </c>
      <c r="I24" s="288">
        <f>E23-E24</f>
        <v>1180.2745066268772</v>
      </c>
      <c r="J24" s="289">
        <f>F23-F24</f>
        <v>1756.0734084098467</v>
      </c>
      <c r="K24" s="289">
        <f>G23-G24</f>
        <v>2099.258330108454</v>
      </c>
      <c r="L24" s="287">
        <f>SUMPRODUCT(I24:K24,$I$3:$K$3)</f>
        <v>1785.0512951666678</v>
      </c>
      <c r="M24" s="687">
        <f>(-0.000173*('Cost-Effectiveness Level'!$B24^3)+0.23079*('Cost-Effectiveness Level'!$B24^2)-111.685715*'Cost-Effectiveness Level'!$B24+20077.668275)</f>
        <v>4181.830019674104</v>
      </c>
      <c r="N24" s="688">
        <f>-0.0000831*('Cost-Effectiveness Level'!$C24^3)+0.1631576*('Cost-Effectiveness Level'!$C24^2)-115.2334046*'Cost-Effectiveness Level'!$C24+30121.2586611</f>
        <v>6532.487975661392</v>
      </c>
      <c r="O24" s="688">
        <f>(-0.00003*('Cost-Effectiveness Level'!$D24^3)+0.101522*('Cost-Effectiveness Level'!$D24^2)-120.534604*'Cost-Effectiveness Level'!$D24+49652.734713)</f>
        <v>8934.160842923331</v>
      </c>
      <c r="P24" s="688">
        <f>SUMPRODUCT(M24:O24,$I$3:$K$3)</f>
        <v>7071.058988713949</v>
      </c>
      <c r="R24" s="304" t="s">
        <v>242</v>
      </c>
      <c r="S24" s="301">
        <v>10217.67975374683</v>
      </c>
      <c r="T24" s="302">
        <v>8432.628458580162</v>
      </c>
      <c r="U24" s="302">
        <v>1785.0512951666678</v>
      </c>
      <c r="V24" s="303">
        <v>1550.7262716482146</v>
      </c>
      <c r="AU24" s="362">
        <v>30622.502197480226</v>
      </c>
      <c r="AV24" s="115">
        <v>35039.496044535605</v>
      </c>
      <c r="AW24" s="115">
        <v>45933.46029885731</v>
      </c>
      <c r="AX24" s="115">
        <v>52910.84090243188</v>
      </c>
      <c r="AY24" s="358">
        <v>1100</v>
      </c>
      <c r="AZ24" s="363">
        <f>('Cost-Effectiveness Level'!$B$3*AU24)+('Cost-Effectiveness Level'!$C$3*AV24)+('Cost-Effectiveness Level'!$D$3*AW24)+('Cost-Effectiveness Level'!$E$3*AX24)</f>
        <v>37773.15558159977</v>
      </c>
      <c r="BA24" s="109"/>
      <c r="BB24" s="109"/>
      <c r="BC24" s="362">
        <v>29431.966012305893</v>
      </c>
      <c r="BD24" s="115">
        <v>33745.76618810431</v>
      </c>
      <c r="BE24" s="115">
        <v>44458.540873132144</v>
      </c>
      <c r="BF24" s="115">
        <v>51431.93671256959</v>
      </c>
      <c r="BG24" s="358">
        <v>1100</v>
      </c>
      <c r="BH24" s="363">
        <f>('Cost-Effectiveness Level'!$B$3*BC24)+('Cost-Effectiveness Level'!$C$3*BD24)+('Cost-Effectiveness Level'!$D$3*BE24)+('Cost-Effectiveness Level'!$E$3*BF24)</f>
        <v>36445.50835042485</v>
      </c>
      <c r="BI24" s="109"/>
      <c r="BJ24" s="109"/>
      <c r="BK24" s="362">
        <v>25788.162906533842</v>
      </c>
      <c r="BL24" s="115">
        <v>29572.370348666864</v>
      </c>
      <c r="BM24" s="115">
        <v>39935.01318488134</v>
      </c>
      <c r="BN24" s="115">
        <v>46585.848227365954</v>
      </c>
      <c r="BO24" s="358">
        <v>1100</v>
      </c>
      <c r="BP24" s="363">
        <f>('Cost-Effectiveness Level'!$B$3*BK24)+('Cost-Effectiveness Level'!$C$3*BL24)+('Cost-Effectiveness Level'!$D$3*BM24)+('Cost-Effectiveness Level'!$E$3*BN24)</f>
        <v>32256.86346322883</v>
      </c>
      <c r="BS24" s="558" t="s">
        <v>590</v>
      </c>
      <c r="BT24" s="692">
        <f aca="true" t="shared" si="4" ref="BT24:CH24">BT23/BT22</f>
        <v>0.2820941176470588</v>
      </c>
      <c r="BU24" s="692">
        <f t="shared" si="4"/>
        <v>0.25194740740740734</v>
      </c>
      <c r="BV24" s="692">
        <f t="shared" si="4"/>
        <v>0.25366538461538457</v>
      </c>
      <c r="BW24" s="692">
        <f t="shared" si="4"/>
        <v>0.2820941176470588</v>
      </c>
      <c r="BX24" s="692">
        <f t="shared" si="4"/>
        <v>0.25194740740740734</v>
      </c>
      <c r="BY24" s="692">
        <f t="shared" si="4"/>
        <v>0.25366538461538457</v>
      </c>
      <c r="BZ24" s="692">
        <f t="shared" si="4"/>
        <v>0.2820941176470588</v>
      </c>
      <c r="CA24" s="692">
        <f t="shared" si="4"/>
        <v>0.25194740740740734</v>
      </c>
      <c r="CB24" s="692">
        <f t="shared" si="4"/>
        <v>0.25366538461538457</v>
      </c>
      <c r="CC24" s="692">
        <f t="shared" si="4"/>
        <v>0.2820941176470588</v>
      </c>
      <c r="CD24" s="692">
        <f t="shared" si="4"/>
        <v>0.25194740740740734</v>
      </c>
      <c r="CE24" s="692">
        <f t="shared" si="4"/>
        <v>0.25366538461538457</v>
      </c>
      <c r="CF24" s="692">
        <f t="shared" si="4"/>
        <v>0.2820941176470588</v>
      </c>
      <c r="CG24" s="692">
        <f t="shared" si="4"/>
        <v>0.25194740740740734</v>
      </c>
      <c r="CH24" s="692">
        <f t="shared" si="4"/>
        <v>0.25366538461538457</v>
      </c>
      <c r="CJ24" s="5"/>
      <c r="CK24" s="699">
        <f>SUMPRODUCT($I$3:$K$3,BT24:BV24)</f>
        <v>0.25869829988268805</v>
      </c>
      <c r="CL24" s="701">
        <f>SUMPRODUCT($I$3:$K$3,BW24:BY24)</f>
        <v>0.25869829988268805</v>
      </c>
      <c r="CM24" s="701">
        <f>SUMPRODUCT($I$3:$K$3,BZ24:CB24)</f>
        <v>0.25869829988268805</v>
      </c>
      <c r="CN24" s="701">
        <f>SUMPRODUCT($I$3:$K$3,CC24:CE24)</f>
        <v>0.25869829988268805</v>
      </c>
      <c r="CO24" s="703">
        <f>SUMPRODUCT($I$3:$K$3,CF24:CH24)</f>
        <v>0.25869829988268805</v>
      </c>
    </row>
    <row r="25" spans="1:93" ht="15" thickBot="1">
      <c r="A25" s="5"/>
      <c r="B25" s="757">
        <f>B20</f>
        <v>850</v>
      </c>
      <c r="C25" s="758"/>
      <c r="D25" s="759">
        <f>C20</f>
        <v>1350</v>
      </c>
      <c r="E25" s="760"/>
      <c r="F25" s="780">
        <f>D20</f>
        <v>2184</v>
      </c>
      <c r="G25" s="760"/>
      <c r="H25" s="116"/>
      <c r="I25" s="771" t="s">
        <v>583</v>
      </c>
      <c r="J25" s="772"/>
      <c r="K25" s="772"/>
      <c r="L25" s="773"/>
      <c r="M25" s="689">
        <f>M24-M23</f>
        <v>932.6757401598261</v>
      </c>
      <c r="N25" s="689">
        <f>N24-N23</f>
        <v>1442.529988499653</v>
      </c>
      <c r="O25" s="689">
        <f>O24-O23</f>
        <v>1942.927923777097</v>
      </c>
      <c r="P25" s="689">
        <f>P24-P23</f>
        <v>1550.7262716482146</v>
      </c>
      <c r="R25" s="304" t="s">
        <v>190</v>
      </c>
      <c r="S25" s="301">
        <v>8133.509570707403</v>
      </c>
      <c r="T25" s="302">
        <v>6676.048753208302</v>
      </c>
      <c r="U25" s="302">
        <v>1457.460817499101</v>
      </c>
      <c r="V25" s="303">
        <v>1505.582531536571</v>
      </c>
      <c r="AU25" s="362">
        <v>29956.782888954</v>
      </c>
      <c r="AV25" s="115">
        <v>34283.006152944625</v>
      </c>
      <c r="AW25" s="115">
        <v>44980.42777615002</v>
      </c>
      <c r="AX25" s="115">
        <v>51826.838558452975</v>
      </c>
      <c r="AY25" s="358">
        <v>1080</v>
      </c>
      <c r="AZ25" s="363">
        <f>('Cost-Effectiveness Level'!$B$3*AU25)+('Cost-Effectiveness Level'!$C$3*AV25)+('Cost-Effectiveness Level'!$D$3*AW25)+('Cost-Effectiveness Level'!$E$3*AX25)</f>
        <v>36969.30852622327</v>
      </c>
      <c r="BA25" s="109"/>
      <c r="BB25" s="109"/>
      <c r="BC25" s="362">
        <v>28772.135950776446</v>
      </c>
      <c r="BD25" s="115">
        <v>32992.90946381483</v>
      </c>
      <c r="BE25" s="115">
        <v>43508.70202168181</v>
      </c>
      <c r="BF25" s="115">
        <v>50352.036331673015</v>
      </c>
      <c r="BG25" s="358">
        <v>1080</v>
      </c>
      <c r="BH25" s="363">
        <f>('Cost-Effectiveness Level'!$B$3*BC25)+('Cost-Effectiveness Level'!$C$3*BD25)+('Cost-Effectiveness Level'!$D$3*BE25)+('Cost-Effectiveness Level'!$E$3*BF25)</f>
        <v>35645.65924406681</v>
      </c>
      <c r="BI25" s="109"/>
      <c r="BJ25" s="109"/>
      <c r="BK25" s="362">
        <v>25151.626135364782</v>
      </c>
      <c r="BL25" s="115">
        <v>28839.818341634927</v>
      </c>
      <c r="BM25" s="115">
        <v>39008.37972458248</v>
      </c>
      <c r="BN25" s="115">
        <v>45518.75183123352</v>
      </c>
      <c r="BO25" s="358">
        <v>1080</v>
      </c>
      <c r="BP25" s="363">
        <f>('Cost-Effectiveness Level'!$B$3*BK25)+('Cost-Effectiveness Level'!$C$3*BL25)+('Cost-Effectiveness Level'!$D$3*BM25)+('Cost-Effectiveness Level'!$E$3*BN25)</f>
        <v>31478.266920597718</v>
      </c>
      <c r="BS25" s="558" t="s">
        <v>592</v>
      </c>
      <c r="BT25" s="693">
        <f>2.5573*BT24+0.2372</f>
        <v>0.9585992870588234</v>
      </c>
      <c r="BU25" s="693">
        <f>2.26083*BU24+0.03621</f>
        <v>0.6058202570888886</v>
      </c>
      <c r="BV25" s="693">
        <f>4.48273*BV24-0.69282</f>
        <v>0.44429342957692297</v>
      </c>
      <c r="BW25" s="693">
        <f>1.4613*BW24+0.0684</f>
        <v>0.48062413411764704</v>
      </c>
      <c r="BX25" s="693">
        <f>1.1074*BX24+0.0095</f>
        <v>0.2885065589629629</v>
      </c>
      <c r="BY25" s="693">
        <f>2.35984*BY24-0.40191</f>
        <v>0.19669972123076918</v>
      </c>
      <c r="BZ25" s="693">
        <f>5.967*BZ24+0.6001</f>
        <v>2.2833555999999997</v>
      </c>
      <c r="CA25" s="694">
        <f>5.88899*CA24+0.1508</f>
        <v>1.6345157627481477</v>
      </c>
      <c r="CB25" s="693">
        <f>9.94137*CB24-1.13637</f>
        <v>1.3854114446538455</v>
      </c>
      <c r="CC25" s="693">
        <f>3.7751*CC24+0.3325</f>
        <v>1.3974335035294116</v>
      </c>
      <c r="CD25" s="693">
        <f>3.52437*CD24+0.08693</f>
        <v>0.9748858842444441</v>
      </c>
      <c r="CE25" s="693">
        <f>6.1494*CE24-0.75803</f>
        <v>0.801859916153846</v>
      </c>
      <c r="CF25" s="693">
        <f>3.5315*CF24+0.3095</f>
        <v>1.305715376470588</v>
      </c>
      <c r="CG25" s="693">
        <f>3.44043*CG24-0.00193</f>
        <v>0.8648774188666665</v>
      </c>
      <c r="CH25" s="693">
        <f>6.44337*CH24-0.95536</f>
        <v>0.6790999292692304</v>
      </c>
      <c r="CJ25" s="5"/>
      <c r="CK25" s="700">
        <f>SUMPRODUCT($I$3:$K$3,BT25:BV25)</f>
        <v>0.60853479552785</v>
      </c>
      <c r="CL25" s="702">
        <f>SUMPRODUCT($I$3:$K$3,BW25:BY25)</f>
        <v>0.28837120214637835</v>
      </c>
      <c r="CM25" s="702">
        <f>SUMPRODUCT($I$3:$K$3,BZ25:CB25)</f>
        <v>1.6596599165989112</v>
      </c>
      <c r="CN25" s="702">
        <f>SUMPRODUCT($I$3:$K$3,CC25:CE25)</f>
        <v>0.9867245015033863</v>
      </c>
      <c r="CO25" s="704">
        <f>SUMPRODUCT($I$3:$K$3,CF25:CH25)</f>
        <v>0.8750184647565276</v>
      </c>
    </row>
    <row r="26" spans="1:93" ht="26.25" thickBot="1">
      <c r="A26" s="5"/>
      <c r="B26" s="526" t="s">
        <v>194</v>
      </c>
      <c r="C26" s="529" t="s">
        <v>470</v>
      </c>
      <c r="D26" s="526" t="s">
        <v>194</v>
      </c>
      <c r="E26" s="527" t="s">
        <v>470</v>
      </c>
      <c r="F26" s="531" t="s">
        <v>194</v>
      </c>
      <c r="G26" s="527" t="s">
        <v>470</v>
      </c>
      <c r="H26" s="116"/>
      <c r="I26" s="116"/>
      <c r="R26" s="304" t="s">
        <v>191</v>
      </c>
      <c r="S26" s="301">
        <v>9044.007699188996</v>
      </c>
      <c r="T26" s="302">
        <v>7399.634044799308</v>
      </c>
      <c r="U26" s="302">
        <v>1644.3736543896885</v>
      </c>
      <c r="V26" s="303">
        <v>1550.7262716482146</v>
      </c>
      <c r="AU26" s="362">
        <v>29291.297978318195</v>
      </c>
      <c r="AV26" s="115">
        <v>33526.72135950776</v>
      </c>
      <c r="AW26" s="115">
        <v>44028.27424553179</v>
      </c>
      <c r="AX26" s="115">
        <v>50743.12921183709</v>
      </c>
      <c r="AY26" s="358">
        <v>1060</v>
      </c>
      <c r="AZ26" s="363">
        <f>('Cost-Effectiveness Level'!$B$3*AU26)+('Cost-Effectiveness Level'!$C$3*AV26)+('Cost-Effectiveness Level'!$D$3*AW26)+('Cost-Effectiveness Level'!$E$3*AX26)</f>
        <v>36165.84529739233</v>
      </c>
      <c r="BA26" s="109"/>
      <c r="BB26" s="109"/>
      <c r="BC26" s="362">
        <v>28112.657486082626</v>
      </c>
      <c r="BD26" s="115">
        <v>32240.19923820686</v>
      </c>
      <c r="BE26" s="115">
        <v>42559.33196601231</v>
      </c>
      <c r="BF26" s="115">
        <v>49271.872253149726</v>
      </c>
      <c r="BG26" s="358">
        <v>1060</v>
      </c>
      <c r="BH26" s="363">
        <f>('Cost-Effectiveness Level'!$B$3*BC26)+('Cost-Effectiveness Level'!$C$3*BD26)+('Cost-Effectiveness Level'!$D$3*BE26)+('Cost-Effectiveness Level'!$E$3*BF26)</f>
        <v>34846.05772048052</v>
      </c>
      <c r="BI26" s="109"/>
      <c r="BJ26" s="109"/>
      <c r="BK26" s="362">
        <v>24517.198945209493</v>
      </c>
      <c r="BL26" s="115">
        <v>28108.76062115441</v>
      </c>
      <c r="BM26" s="115">
        <v>38084.47113975974</v>
      </c>
      <c r="BN26" s="115">
        <v>44451.56753589218</v>
      </c>
      <c r="BO26" s="358">
        <v>1060</v>
      </c>
      <c r="BP26" s="363">
        <f>('Cost-Effectiveness Level'!$B$3*BK26)+('Cost-Effectiveness Level'!$C$3*BL26)+('Cost-Effectiveness Level'!$D$3*BM26)+('Cost-Effectiveness Level'!$E$3*BN26)</f>
        <v>30701.51626135365</v>
      </c>
      <c r="BS26" s="558" t="s">
        <v>593</v>
      </c>
      <c r="BT26" s="695">
        <f aca="true" t="shared" si="5" ref="BT26:CH26">BT22*BT25</f>
        <v>814.8093939999999</v>
      </c>
      <c r="BU26" s="695">
        <f t="shared" si="5"/>
        <v>817.8573470699997</v>
      </c>
      <c r="BV26" s="695">
        <f t="shared" si="5"/>
        <v>970.3368501959998</v>
      </c>
      <c r="BW26" s="695">
        <f t="shared" si="5"/>
        <v>408.530514</v>
      </c>
      <c r="BX26" s="695">
        <f t="shared" si="5"/>
        <v>389.4838545999999</v>
      </c>
      <c r="BY26" s="695">
        <f t="shared" si="5"/>
        <v>429.5921911679999</v>
      </c>
      <c r="BZ26" s="695">
        <f t="shared" si="5"/>
        <v>1940.8522599999997</v>
      </c>
      <c r="CA26" s="695">
        <f t="shared" si="5"/>
        <v>2206.596279709999</v>
      </c>
      <c r="CB26" s="695">
        <f t="shared" si="5"/>
        <v>3025.7385951239985</v>
      </c>
      <c r="CC26" s="695">
        <f t="shared" si="5"/>
        <v>1187.818478</v>
      </c>
      <c r="CD26" s="695">
        <f t="shared" si="5"/>
        <v>1316.0959437299996</v>
      </c>
      <c r="CE26" s="695">
        <f t="shared" si="5"/>
        <v>1751.2620568799996</v>
      </c>
      <c r="CF26" s="695">
        <f t="shared" si="5"/>
        <v>1109.8580699999998</v>
      </c>
      <c r="CG26" s="695">
        <f t="shared" si="5"/>
        <v>1167.5845154699998</v>
      </c>
      <c r="CH26" s="695">
        <f t="shared" si="5"/>
        <v>1483.1542455239992</v>
      </c>
      <c r="CJ26" s="5"/>
      <c r="CK26" s="712">
        <f>SUMPRODUCT($I$3:$K$3,BT26:BV26)</f>
        <v>881.2891477689197</v>
      </c>
      <c r="CL26" s="713">
        <f>SUMPRODUCT($I$3:$K$3,BW26:BY26)</f>
        <v>410.1386878385599</v>
      </c>
      <c r="CM26" s="713">
        <f>SUMPRODUCT($I$3:$K$3,BZ26:CB26)</f>
        <v>2497.4872482418787</v>
      </c>
      <c r="CN26" s="713">
        <f>SUMPRODUCT($I$3:$K$3,CC26:CE26)</f>
        <v>1473.2102181069995</v>
      </c>
      <c r="CO26" s="714">
        <f>SUMPRODUCT($I$3:$K$3,CF26:CH26)</f>
        <v>1288.5785129986793</v>
      </c>
    </row>
    <row r="27" spans="1:68" ht="14.25">
      <c r="A27" s="5"/>
      <c r="B27" s="290">
        <f>IF('850SF'!$AD39&gt;=1,'UA Optimizer'!$U45,'UA Optimizer'!$U44)</f>
        <v>442.9135641082923</v>
      </c>
      <c r="C27" s="524" t="b">
        <f>AND(B27=B28,B28&gt;B29)</f>
        <v>0</v>
      </c>
      <c r="D27" s="290">
        <f>IF('1350SF'!$AD45&gt;=1,'UA Optimizer'!$AA45,'UA Optimizer'!$AA44)</f>
        <v>742.0202617599339</v>
      </c>
      <c r="E27" s="292" t="b">
        <f>AND(D27=D28,D28&gt;D29)</f>
        <v>0</v>
      </c>
      <c r="F27" s="532">
        <f>IF('2184SF'!$AD43&gt;=1,'UA Optimizer'!$AG45,'UA Optimizer'!$AG44)</f>
        <v>1048.7176922011877</v>
      </c>
      <c r="G27" s="292" t="b">
        <f>AND(F27=F28,F28&gt;F29)</f>
        <v>0</v>
      </c>
      <c r="H27" s="116"/>
      <c r="I27" s="116"/>
      <c r="R27" s="304" t="s">
        <v>241</v>
      </c>
      <c r="S27" s="301">
        <v>11437.838762990421</v>
      </c>
      <c r="T27" s="302">
        <v>9490.853108686319</v>
      </c>
      <c r="U27" s="302">
        <v>1946.9856543041037</v>
      </c>
      <c r="V27" s="303">
        <v>1550.7262716482146</v>
      </c>
      <c r="AU27" s="362">
        <v>28625.871667155</v>
      </c>
      <c r="AV27" s="115">
        <v>32770.81746264284</v>
      </c>
      <c r="AW27" s="115">
        <v>43076.26721359508</v>
      </c>
      <c r="AX27" s="115">
        <v>49659.390565484915</v>
      </c>
      <c r="AY27" s="358">
        <v>1040</v>
      </c>
      <c r="AZ27" s="363">
        <f>('Cost-Effectiveness Level'!$B$3*AU27)+('Cost-Effectiveness Level'!$C$3*AV27)+('Cost-Effectiveness Level'!$D$3*AW27)+('Cost-Effectiveness Level'!$E$3*AX27)</f>
        <v>35362.619396425434</v>
      </c>
      <c r="BA27" s="109"/>
      <c r="BB27" s="109"/>
      <c r="BC27" s="362">
        <v>27453.23762086141</v>
      </c>
      <c r="BD27" s="115">
        <v>31487.40111338998</v>
      </c>
      <c r="BE27" s="115">
        <v>41610.51860533256</v>
      </c>
      <c r="BF27" s="115">
        <v>48191.53237620862</v>
      </c>
      <c r="BG27" s="358">
        <v>1040</v>
      </c>
      <c r="BH27" s="363">
        <f>('Cost-Effectiveness Level'!$B$3*BC27)+('Cost-Effectiveness Level'!$C$3*BD27)+('Cost-Effectiveness Level'!$D$3*BE27)+('Cost-Effectiveness Level'!$E$3*BF27)</f>
        <v>34046.55435101084</v>
      </c>
      <c r="BI27" s="109"/>
      <c r="BJ27" s="109"/>
      <c r="BK27" s="362">
        <v>23883.09405215353</v>
      </c>
      <c r="BL27" s="115">
        <v>27377.585701728683</v>
      </c>
      <c r="BM27" s="115">
        <v>37161.29504834457</v>
      </c>
      <c r="BN27" s="115">
        <v>43385.64312921184</v>
      </c>
      <c r="BO27" s="358">
        <v>1040</v>
      </c>
      <c r="BP27" s="363">
        <f>('Cost-Effectiveness Level'!$B$3*BK27)+('Cost-Effectiveness Level'!$C$3*BL27)+('Cost-Effectiveness Level'!$D$3*BM27)+('Cost-Effectiveness Level'!$E$3*BN27)</f>
        <v>29925.017579841784</v>
      </c>
    </row>
    <row r="28" spans="2:68" ht="14.25">
      <c r="B28" s="290">
        <f>IF('850SF'!$AD40&gt;=1,'UA Optimizer'!$U46,'UA Optimizer'!$U45)</f>
        <v>399.5907257624276</v>
      </c>
      <c r="C28" s="524" t="b">
        <f aca="true" t="shared" si="6" ref="C28:C39">AND(B28=B29,B29&gt;B30)</f>
        <v>0</v>
      </c>
      <c r="D28" s="290">
        <f>IF('1350SF'!$AD46&gt;=1,'UA Optimizer'!$AA46,'UA Optimizer'!$AA45)</f>
        <v>644.6852617599338</v>
      </c>
      <c r="E28" s="292" t="b">
        <f aca="true" t="shared" si="7" ref="E28:E42">AND(D28=D29,D29&gt;D30)</f>
        <v>0</v>
      </c>
      <c r="F28" s="532">
        <f>IF('2184SF'!$AD44&gt;=1,'UA Optimizer'!$AG46,'UA Optimizer'!$AG45)</f>
        <v>973.7336922011876</v>
      </c>
      <c r="G28" s="292" t="b">
        <f aca="true" t="shared" si="8" ref="G28:G41">AND(F28=F29,F29&gt;F30)</f>
        <v>0</v>
      </c>
      <c r="R28" s="304" t="s">
        <v>192</v>
      </c>
      <c r="S28" s="301">
        <v>13318.706027405835</v>
      </c>
      <c r="T28" s="302">
        <v>11133.953801740427</v>
      </c>
      <c r="U28" s="302">
        <v>2184.7522256654074</v>
      </c>
      <c r="V28" s="303">
        <v>1550.7262716482146</v>
      </c>
      <c r="AU28" s="362">
        <v>27960.474655728103</v>
      </c>
      <c r="AV28" s="115">
        <v>32015.29446234984</v>
      </c>
      <c r="AW28" s="115">
        <v>42124.11368297686</v>
      </c>
      <c r="AX28" s="115">
        <v>48576.003515968354</v>
      </c>
      <c r="AY28" s="358">
        <v>1020</v>
      </c>
      <c r="AZ28" s="363">
        <f>('Cost-Effectiveness Level'!$B$3*AU28)+('Cost-Effectiveness Level'!$C$3*AV28)+('Cost-Effectiveness Level'!$D$3*AW28)+('Cost-Effectiveness Level'!$E$3*AX28)</f>
        <v>34559.57075886317</v>
      </c>
      <c r="BA28" s="109"/>
      <c r="BB28" s="109"/>
      <c r="BC28" s="362">
        <v>26794.286551421035</v>
      </c>
      <c r="BD28" s="115">
        <v>30734.720187518316</v>
      </c>
      <c r="BE28" s="115">
        <v>40662.203340169945</v>
      </c>
      <c r="BF28" s="115">
        <v>47110.98740111339</v>
      </c>
      <c r="BG28" s="358">
        <v>1020</v>
      </c>
      <c r="BH28" s="363">
        <f>('Cost-Effectiveness Level'!$B$3*BC28)+('Cost-Effectiveness Level'!$C$3*BD28)+('Cost-Effectiveness Level'!$D$3*BE28)+('Cost-Effectiveness Level'!$E$3*BF28)</f>
        <v>33247.31760914152</v>
      </c>
      <c r="BI28" s="109"/>
      <c r="BJ28" s="109"/>
      <c r="BK28" s="362">
        <v>23250.6006445942</v>
      </c>
      <c r="BL28" s="115">
        <v>26646.79167887489</v>
      </c>
      <c r="BM28" s="115">
        <v>36239.173747436274</v>
      </c>
      <c r="BN28" s="115">
        <v>42320.8907119836</v>
      </c>
      <c r="BO28" s="358">
        <v>1020</v>
      </c>
      <c r="BP28" s="363">
        <f>('Cost-Effectiveness Level'!$B$3*BK28)+('Cost-Effectiveness Level'!$C$3*BL28)+('Cost-Effectiveness Level'!$D$3*BM28)+('Cost-Effectiveness Level'!$E$3*BN28)</f>
        <v>29149.353940814533</v>
      </c>
    </row>
    <row r="29" spans="2:68" ht="15" thickBot="1">
      <c r="B29" s="290">
        <f>IF('850SF'!$AD41&gt;=1,'UA Optimizer'!$U47,'UA Optimizer'!$U46)</f>
        <v>350.68970802919705</v>
      </c>
      <c r="C29" s="524" t="b">
        <f t="shared" si="6"/>
        <v>0</v>
      </c>
      <c r="D29" s="290">
        <f>IF('1350SF'!$AD47&gt;=1,'UA Optimizer'!$AA47,'UA Optimizer'!$AA46)</f>
        <v>575.8784008576782</v>
      </c>
      <c r="E29" s="292" t="b">
        <f t="shared" si="7"/>
        <v>0</v>
      </c>
      <c r="F29" s="532">
        <f>IF('2184SF'!$AD45&gt;=1,'UA Optimizer'!$AG47,'UA Optimizer'!$AG46)</f>
        <v>936.6289553590824</v>
      </c>
      <c r="G29" s="292" t="b">
        <f t="shared" si="8"/>
        <v>0</v>
      </c>
      <c r="R29" s="305" t="s">
        <v>193</v>
      </c>
      <c r="S29" s="301">
        <v>15221.028161974651</v>
      </c>
      <c r="T29" s="302">
        <v>12714.3828501494</v>
      </c>
      <c r="U29" s="302">
        <v>2506.6453118252502</v>
      </c>
      <c r="V29" s="303">
        <v>1616.1599719876394</v>
      </c>
      <c r="AU29" s="362">
        <v>27295.253442719015</v>
      </c>
      <c r="AV29" s="115">
        <v>31259.947260474655</v>
      </c>
      <c r="AW29" s="115">
        <v>41172.22384998535</v>
      </c>
      <c r="AX29" s="115">
        <v>47492.675065924406</v>
      </c>
      <c r="AY29" s="358">
        <v>1000</v>
      </c>
      <c r="AZ29" s="363">
        <f>('Cost-Effectiveness Level'!$B$3*AU29)+('Cost-Effectiveness Level'!$C$3*AV29)+('Cost-Effectiveness Level'!$D$3*AW29)+('Cost-Effectiveness Level'!$E$3*AX29)</f>
        <v>33756.71403457369</v>
      </c>
      <c r="BA29" s="109"/>
      <c r="BB29" s="109"/>
      <c r="BC29" s="362">
        <v>26135.511280398478</v>
      </c>
      <c r="BD29" s="115">
        <v>29982.420158218578</v>
      </c>
      <c r="BE29" s="115">
        <v>39714.62056841489</v>
      </c>
      <c r="BF29" s="115">
        <v>46030.44242601817</v>
      </c>
      <c r="BG29" s="358">
        <v>1000</v>
      </c>
      <c r="BH29" s="363">
        <f>('Cost-Effectiveness Level'!$B$3*BC29)+('Cost-Effectiveness Level'!$C$3*BD29)+('Cost-Effectiveness Level'!$D$3*BE29)+('Cost-Effectiveness Level'!$E$3*BF29)</f>
        <v>32448.489598593616</v>
      </c>
      <c r="BI29" s="109"/>
      <c r="BJ29" s="109"/>
      <c r="BK29" s="362">
        <v>22620.33401699385</v>
      </c>
      <c r="BL29" s="115">
        <v>25917.550542045126</v>
      </c>
      <c r="BM29" s="115">
        <v>35318.4881336068</v>
      </c>
      <c r="BN29" s="115">
        <v>41258.365074714326</v>
      </c>
      <c r="BO29" s="358">
        <v>1000</v>
      </c>
      <c r="BP29" s="363">
        <f>('Cost-Effectiveness Level'!$B$3*BK29)+('Cost-Effectiveness Level'!$C$3*BL29)+('Cost-Effectiveness Level'!$D$3*BM29)+('Cost-Effectiveness Level'!$E$3*BN29)</f>
        <v>28375.38236155875</v>
      </c>
    </row>
    <row r="30" spans="2:68" ht="15" thickBot="1">
      <c r="B30" s="290">
        <f>IF('850SF'!$AD42&gt;=1,'UA Optimizer'!$U48,'UA Optimizer'!$U47)</f>
        <v>338.7897080291971</v>
      </c>
      <c r="C30" s="524" t="b">
        <f t="shared" si="6"/>
        <v>0</v>
      </c>
      <c r="D30" s="290">
        <f>IF('1350SF'!$AD48&gt;=1,'UA Optimizer'!$AA48,'UA Optimizer'!$AA47)</f>
        <v>514.8426861313868</v>
      </c>
      <c r="E30" s="292" t="b">
        <f t="shared" si="7"/>
        <v>0</v>
      </c>
      <c r="F30" s="532">
        <f>IF('2184SF'!$AD46&gt;=1,'UA Optimizer'!$AG48,'UA Optimizer'!$AG47)</f>
        <v>844.8037109489051</v>
      </c>
      <c r="G30" s="292" t="b">
        <f t="shared" si="8"/>
        <v>0</v>
      </c>
      <c r="R30" s="690" t="str">
        <f>"CASE =&gt; "&amp;(INDEX($A$5:$A$13,$A$14,1))</f>
        <v>CASE =&gt; PNW Region</v>
      </c>
      <c r="S30" s="307">
        <f>H$23</f>
        <v>10217.67975374683</v>
      </c>
      <c r="T30" s="308">
        <f>H$24</f>
        <v>8432.628458580162</v>
      </c>
      <c r="U30" s="308">
        <f>L$24</f>
        <v>1785.0512951666678</v>
      </c>
      <c r="V30" s="309">
        <f>P$25</f>
        <v>1550.7262716482146</v>
      </c>
      <c r="AU30" s="362">
        <v>26630.530325227075</v>
      </c>
      <c r="AV30" s="115">
        <v>30505.27395253443</v>
      </c>
      <c r="AW30" s="115">
        <v>40220.480515675365</v>
      </c>
      <c r="AX30" s="115">
        <v>46409.258716671546</v>
      </c>
      <c r="AY30" s="358">
        <v>980</v>
      </c>
      <c r="AZ30" s="363">
        <f>('Cost-Effectiveness Level'!$B$3*AU30)+('Cost-Effectiveness Level'!$C$3*AV30)+('Cost-Effectiveness Level'!$D$3*AW30)+('Cost-Effectiveness Level'!$E$3*AX30)</f>
        <v>32954.326106065055</v>
      </c>
      <c r="BA30" s="109"/>
      <c r="BB30" s="109"/>
      <c r="BC30" s="362">
        <v>25476.82390858482</v>
      </c>
      <c r="BD30" s="115">
        <v>29230.35452680926</v>
      </c>
      <c r="BE30" s="115">
        <v>38767.21359507764</v>
      </c>
      <c r="BF30" s="115">
        <v>44950.33694696748</v>
      </c>
      <c r="BG30" s="358">
        <v>980</v>
      </c>
      <c r="BH30" s="363">
        <f>('Cost-Effectiveness Level'!$B$3*BC30)+('Cost-Effectiveness Level'!$C$3*BD30)+('Cost-Effectiveness Level'!$D$3*BE30)+('Cost-Effectiveness Level'!$E$3*BF30)</f>
        <v>31649.86229123938</v>
      </c>
      <c r="BI30" s="109"/>
      <c r="BJ30" s="109"/>
      <c r="BK30" s="362">
        <v>21989.97949018459</v>
      </c>
      <c r="BL30" s="115">
        <v>25190.301787283915</v>
      </c>
      <c r="BM30" s="115">
        <v>34399.58980369177</v>
      </c>
      <c r="BN30" s="115">
        <v>40196.07383533549</v>
      </c>
      <c r="BO30" s="358">
        <v>980</v>
      </c>
      <c r="BP30" s="363">
        <f>('Cost-Effectiveness Level'!$B$3*BK30)+('Cost-Effectiveness Level'!$C$3*BL30)+('Cost-Effectiveness Level'!$D$3*BM30)+('Cost-Effectiveness Level'!$E$3*BN30)</f>
        <v>27602.847934368594</v>
      </c>
    </row>
    <row r="31" spans="2:68" ht="15" thickBot="1">
      <c r="B31" s="290">
        <f>IF('850SF'!$AD43&gt;=1,'UA Optimizer'!$U49,'UA Optimizer'!$U48)</f>
        <v>320.93970802919705</v>
      </c>
      <c r="C31" s="524" t="b">
        <f t="shared" si="6"/>
        <v>0</v>
      </c>
      <c r="D31" s="290">
        <f>IF('1350SF'!$AD49&gt;=1,'UA Optimizer'!$AA49,'UA Optimizer'!$AA48)</f>
        <v>495.94268613138684</v>
      </c>
      <c r="E31" s="292" t="b">
        <f t="shared" si="7"/>
        <v>0</v>
      </c>
      <c r="F31" s="532">
        <f>IF('2184SF'!$AD47&gt;=1,'UA Optimizer'!$AG49,'UA Optimizer'!$AG48)</f>
        <v>834.611710948905</v>
      </c>
      <c r="G31" s="292" t="b">
        <f t="shared" si="8"/>
        <v>0</v>
      </c>
      <c r="AU31" s="362">
        <v>25965.983006152943</v>
      </c>
      <c r="AV31" s="115">
        <v>29751.303838265456</v>
      </c>
      <c r="AW31" s="115">
        <v>39268.91297978318</v>
      </c>
      <c r="AX31" s="115">
        <v>45326.04746557281</v>
      </c>
      <c r="AY31" s="358">
        <v>960</v>
      </c>
      <c r="AZ31" s="363">
        <f>('Cost-Effectiveness Level'!$B$3*AU31)+('Cost-Effectiveness Level'!$C$3*AV31)+('Cost-Effectiveness Level'!$D$3*AW31)+('Cost-Effectiveness Level'!$E$3*AX31)</f>
        <v>32152.37913858775</v>
      </c>
      <c r="BA31" s="109"/>
      <c r="BB31" s="109"/>
      <c r="BC31" s="362">
        <v>24819.162027541755</v>
      </c>
      <c r="BD31" s="115">
        <v>28478.75769118078</v>
      </c>
      <c r="BE31" s="115">
        <v>37820.89071198359</v>
      </c>
      <c r="BF31" s="115">
        <v>43870.319367125696</v>
      </c>
      <c r="BG31" s="358">
        <v>960</v>
      </c>
      <c r="BH31" s="363">
        <f>('Cost-Effectiveness Level'!$B$3*BC31)+('Cost-Effectiveness Level'!$C$3*BD31)+('Cost-Effectiveness Level'!$D$3*BE31)+('Cost-Effectiveness Level'!$E$3*BF31)</f>
        <v>30851.949897450926</v>
      </c>
      <c r="BI31" s="109"/>
      <c r="BJ31" s="109"/>
      <c r="BK31" s="362">
        <v>21360.914151772635</v>
      </c>
      <c r="BL31" s="115">
        <v>24464.78171696455</v>
      </c>
      <c r="BM31" s="115">
        <v>33482.03926164665</v>
      </c>
      <c r="BN31" s="115">
        <v>39134.5736888368</v>
      </c>
      <c r="BO31" s="358">
        <v>960</v>
      </c>
      <c r="BP31" s="363">
        <f>('Cost-Effectiveness Level'!$B$3*BK31)+('Cost-Effectiveness Level'!$C$3*BL31)+('Cost-Effectiveness Level'!$D$3*BM31)+('Cost-Effectiveness Level'!$E$3*BN31)</f>
        <v>26831.812188690303</v>
      </c>
    </row>
    <row r="32" spans="2:68" ht="14.25">
      <c r="B32" s="290">
        <f>IF('850SF'!$AD44&gt;=1,'UA Optimizer'!$U50,'UA Optimizer'!$U49)</f>
        <v>310.73970802919706</v>
      </c>
      <c r="C32" s="524" t="b">
        <f t="shared" si="6"/>
        <v>0</v>
      </c>
      <c r="D32" s="290">
        <f>IF('1350SF'!$AD50&gt;=1,'UA Optimizer'!$AA50,'UA Optimizer'!$AA49)</f>
        <v>476.0976861313868</v>
      </c>
      <c r="E32" s="292" t="b">
        <f t="shared" si="7"/>
        <v>0</v>
      </c>
      <c r="F32" s="532">
        <f>IF('2184SF'!$AD48&gt;=1,'UA Optimizer'!$AG50,'UA Optimizer'!$AG49)</f>
        <v>819.323710948905</v>
      </c>
      <c r="G32" s="292" t="b">
        <f t="shared" si="8"/>
        <v>0</v>
      </c>
      <c r="R32" s="774" t="s">
        <v>575</v>
      </c>
      <c r="S32" s="775"/>
      <c r="T32" s="775"/>
      <c r="U32" s="775"/>
      <c r="V32" s="776"/>
      <c r="AU32" s="362">
        <v>25301.640785232936</v>
      </c>
      <c r="AV32" s="115">
        <v>28997.42162320539</v>
      </c>
      <c r="AW32" s="115">
        <v>38318.01933782596</v>
      </c>
      <c r="AX32" s="115">
        <v>44242.95341341929</v>
      </c>
      <c r="AY32" s="358">
        <v>940</v>
      </c>
      <c r="AZ32" s="363">
        <f>('Cost-Effectiveness Level'!$B$3*AU32)+('Cost-Effectiveness Level'!$C$3*AV32)+('Cost-Effectiveness Level'!$D$3*AW32)+('Cost-Effectiveness Level'!$E$3*AX32)</f>
        <v>31350.69147377674</v>
      </c>
      <c r="BA32" s="109"/>
      <c r="BB32" s="109"/>
      <c r="BC32" s="362">
        <v>24162.379138587752</v>
      </c>
      <c r="BD32" s="115">
        <v>27727.453852915325</v>
      </c>
      <c r="BE32" s="115">
        <v>36875.35892176971</v>
      </c>
      <c r="BF32" s="115">
        <v>42789.77439203047</v>
      </c>
      <c r="BG32" s="358">
        <v>940</v>
      </c>
      <c r="BH32" s="363">
        <f>('Cost-Effectiveness Level'!$B$3*BC32)+('Cost-Effectiveness Level'!$C$3*BD32)+('Cost-Effectiveness Level'!$D$3*BE32)+('Cost-Effectiveness Level'!$E$3*BF32)</f>
        <v>30054.53120421916</v>
      </c>
      <c r="BI32" s="109"/>
      <c r="BJ32" s="109"/>
      <c r="BK32" s="362">
        <v>20733.95839437445</v>
      </c>
      <c r="BL32" s="115">
        <v>23742.68971579256</v>
      </c>
      <c r="BM32" s="115">
        <v>32565.572809844714</v>
      </c>
      <c r="BN32" s="115">
        <v>38073.45443891005</v>
      </c>
      <c r="BO32" s="358">
        <v>940</v>
      </c>
      <c r="BP32" s="363">
        <f>('Cost-Effectiveness Level'!$B$3*BK32)+('Cost-Effectiveness Level'!$C$3*BL32)+('Cost-Effectiveness Level'!$D$3*BM32)+('Cost-Effectiveness Level'!$E$3*BN32)</f>
        <v>26063.20246117785</v>
      </c>
    </row>
    <row r="33" spans="2:68" ht="15" thickBot="1">
      <c r="B33" s="290">
        <f>IF('850SF'!$AD45&gt;=1,'UA Optimizer'!$U51,'UA Optimizer'!$U50)</f>
        <v>239.77999999999997</v>
      </c>
      <c r="C33" s="524" t="b">
        <f t="shared" si="6"/>
        <v>1</v>
      </c>
      <c r="D33" s="290">
        <f>IF('1350SF'!$AD51&gt;=1,'UA Optimizer'!$AA51,'UA Optimizer'!$AA50)</f>
        <v>468.8076861313868</v>
      </c>
      <c r="E33" s="292" t="b">
        <f t="shared" si="7"/>
        <v>0</v>
      </c>
      <c r="F33" s="532">
        <f>IF('2184SF'!$AD49&gt;=1,'UA Optimizer'!$AG51,'UA Optimizer'!$AG50)</f>
        <v>810.587710948905</v>
      </c>
      <c r="G33" s="292" t="b">
        <f t="shared" si="8"/>
        <v>0</v>
      </c>
      <c r="R33" s="777"/>
      <c r="S33" s="778"/>
      <c r="T33" s="778"/>
      <c r="U33" s="778"/>
      <c r="V33" s="779"/>
      <c r="AU33" s="362">
        <v>24637.85525930267</v>
      </c>
      <c r="AV33" s="115">
        <v>28243.92030471726</v>
      </c>
      <c r="AW33" s="115">
        <v>37368.180486375626</v>
      </c>
      <c r="AX33" s="115">
        <v>43160.12305889247</v>
      </c>
      <c r="AY33" s="358">
        <v>920</v>
      </c>
      <c r="AZ33" s="363">
        <f>('Cost-Effectiveness Level'!$B$3*AU33)+('Cost-Effectiveness Level'!$C$3*AV33)+('Cost-Effectiveness Level'!$D$3*AW33)+('Cost-Effectiveness Level'!$E$3*AX33)</f>
        <v>30549.582478757697</v>
      </c>
      <c r="BA33" s="109"/>
      <c r="BB33" s="109"/>
      <c r="BC33" s="362">
        <v>23506.24084383241</v>
      </c>
      <c r="BD33" s="115">
        <v>26977.439203047175</v>
      </c>
      <c r="BE33" s="115">
        <v>35930.911221799004</v>
      </c>
      <c r="BF33" s="115">
        <v>41710.22560796953</v>
      </c>
      <c r="BG33" s="358">
        <v>920</v>
      </c>
      <c r="BH33" s="363">
        <f>('Cost-Effectiveness Level'!$B$3*BC33)+('Cost-Effectiveness Level'!$C$3*BD33)+('Cost-Effectiveness Level'!$D$3*BE33)+('Cost-Effectiveness Level'!$E$3*BF33)</f>
        <v>29258.2068561383</v>
      </c>
      <c r="BI33" s="109"/>
      <c r="BJ33" s="109"/>
      <c r="BK33" s="362">
        <v>20108.057427483156</v>
      </c>
      <c r="BL33" s="115">
        <v>23022.47289774392</v>
      </c>
      <c r="BM33" s="115">
        <v>31649.83885145034</v>
      </c>
      <c r="BN33" s="115">
        <v>37014.825666569006</v>
      </c>
      <c r="BO33" s="358">
        <v>920</v>
      </c>
      <c r="BP33" s="363">
        <f>('Cost-Effectiveness Level'!$B$3*BK33)+('Cost-Effectiveness Level'!$C$3*BL33)+('Cost-Effectiveness Level'!$D$3*BM33)+('Cost-Effectiveness Level'!$E$3*BN33)</f>
        <v>25296.048930559624</v>
      </c>
    </row>
    <row r="34" spans="2:68" ht="39" thickBot="1">
      <c r="B34" s="290">
        <f>IF('850SF'!$AD46&gt;=1,'UA Optimizer'!$U52,'UA Optimizer'!$U51)</f>
        <v>239.77999999999997</v>
      </c>
      <c r="C34" s="524" t="b">
        <f t="shared" si="6"/>
        <v>0</v>
      </c>
      <c r="D34" s="290">
        <f>IF('1350SF'!$AD52&gt;=1,'UA Optimizer'!$AA52,'UA Optimizer'!$AA51)</f>
        <v>452.6076861313868</v>
      </c>
      <c r="E34" s="292" t="b">
        <f t="shared" si="7"/>
        <v>0</v>
      </c>
      <c r="F34" s="532">
        <f>IF('2184SF'!$AD50&gt;=1,'UA Optimizer'!$AG52,'UA Optimizer'!$AG51)</f>
        <v>572.7972</v>
      </c>
      <c r="G34" s="292" t="b">
        <f t="shared" si="8"/>
        <v>0</v>
      </c>
      <c r="R34" s="296" t="s">
        <v>123</v>
      </c>
      <c r="S34" s="296" t="s">
        <v>473</v>
      </c>
      <c r="T34" s="296" t="s">
        <v>474</v>
      </c>
      <c r="U34" s="296" t="s">
        <v>475</v>
      </c>
      <c r="V34" s="296" t="s">
        <v>471</v>
      </c>
      <c r="AU34" s="362">
        <v>23975.241722824496</v>
      </c>
      <c r="AV34" s="115">
        <v>27490.858482273663</v>
      </c>
      <c r="AW34" s="115">
        <v>36419.16202754176</v>
      </c>
      <c r="AX34" s="115">
        <v>42077.58570172868</v>
      </c>
      <c r="AY34" s="358">
        <v>900</v>
      </c>
      <c r="AZ34" s="363">
        <f>('Cost-Effectiveness Level'!$B$3*AU34)+('Cost-Effectiveness Level'!$C$3*AV34)+('Cost-Effectiveness Level'!$D$3*AW34)+('Cost-Effectiveness Level'!$E$3*AX34)</f>
        <v>29749.147377673602</v>
      </c>
      <c r="BA34" s="109"/>
      <c r="BB34" s="109"/>
      <c r="BC34" s="362">
        <v>22851.040140638735</v>
      </c>
      <c r="BD34" s="115">
        <v>26227.600351596837</v>
      </c>
      <c r="BE34" s="115">
        <v>34987.225314972166</v>
      </c>
      <c r="BF34" s="115">
        <v>40631.29211837094</v>
      </c>
      <c r="BG34" s="358">
        <v>900</v>
      </c>
      <c r="BH34" s="363">
        <f>('Cost-Effectiveness Level'!$B$3*BC34)+('Cost-Effectiveness Level'!$C$3*BD34)+('Cost-Effectiveness Level'!$D$3*BE34)+('Cost-Effectiveness Level'!$E$3*BF34)</f>
        <v>28462.379138587752</v>
      </c>
      <c r="BI34" s="109"/>
      <c r="BJ34" s="109"/>
      <c r="BK34" s="362">
        <v>19486.697919718725</v>
      </c>
      <c r="BL34" s="115">
        <v>22305.039554644012</v>
      </c>
      <c r="BM34" s="115">
        <v>30737.12276589511</v>
      </c>
      <c r="BN34" s="115">
        <v>35958.39437445063</v>
      </c>
      <c r="BO34" s="358">
        <v>900</v>
      </c>
      <c r="BP34" s="363">
        <f>('Cost-Effectiveness Level'!$B$3*BK34)+('Cost-Effectiveness Level'!$C$3*BL34)+('Cost-Effectiveness Level'!$D$3*BM34)+('Cost-Effectiveness Level'!$E$3*BN34)</f>
        <v>24532.059771462064</v>
      </c>
    </row>
    <row r="35" spans="2:68" ht="14.25">
      <c r="B35" s="290">
        <f>IF('850SF'!$AD47&gt;=1,'UA Optimizer'!$U53,'UA Optimizer'!$U52)</f>
        <v>236.37999999999997</v>
      </c>
      <c r="C35" s="524" t="b">
        <f t="shared" si="6"/>
        <v>0</v>
      </c>
      <c r="D35" s="290">
        <f>IF('1350SF'!$AD53&gt;=1,'UA Optimizer'!$AA53,'UA Optimizer'!$AA52)</f>
        <v>340.1289999999999</v>
      </c>
      <c r="E35" s="292" t="b">
        <f t="shared" si="7"/>
        <v>1</v>
      </c>
      <c r="F35" s="532">
        <f>IF('2184SF'!$AD51&gt;=1,'UA Optimizer'!$AG53,'UA Optimizer'!$AG52)</f>
        <v>554.0052</v>
      </c>
      <c r="G35" s="292" t="b">
        <f t="shared" si="8"/>
        <v>1</v>
      </c>
      <c r="R35" s="297" t="s">
        <v>207</v>
      </c>
      <c r="S35" s="298">
        <f>T35+U35</f>
        <v>10299.957007376004</v>
      </c>
      <c r="T35" s="299">
        <v>7579.385349715202</v>
      </c>
      <c r="U35" s="299">
        <f>'UA Optimizer'!E140</f>
        <v>2720.5716576608024</v>
      </c>
      <c r="V35" s="645">
        <f>'UA Optimizer'!E$126</f>
        <v>1230.0254590235586</v>
      </c>
      <c r="AU35" s="362">
        <v>23313.68297685321</v>
      </c>
      <c r="AV35" s="115">
        <v>26737.738060357457</v>
      </c>
      <c r="AW35" s="115">
        <v>35470.72956343393</v>
      </c>
      <c r="AX35" s="115">
        <v>40996.07383533548</v>
      </c>
      <c r="AY35" s="358">
        <v>880</v>
      </c>
      <c r="AZ35" s="363">
        <f>('Cost-Effectiveness Level'!$B$3*AU35)+('Cost-Effectiveness Level'!$C$3*AV35)+('Cost-Effectiveness Level'!$D$3*AW35)+('Cost-Effectiveness Level'!$E$3*AX35)</f>
        <v>28949.091708174627</v>
      </c>
      <c r="BA35" s="109"/>
      <c r="BB35" s="109"/>
      <c r="BC35" s="362">
        <v>22196.39613243481</v>
      </c>
      <c r="BD35" s="115">
        <v>25478.552593026667</v>
      </c>
      <c r="BE35" s="115">
        <v>34044.00820392617</v>
      </c>
      <c r="BF35" s="115">
        <v>39552.24142982713</v>
      </c>
      <c r="BG35" s="358">
        <v>880</v>
      </c>
      <c r="BH35" s="363">
        <f>('Cost-Effectiveness Level'!$B$3*BC35)+('Cost-Effectiveness Level'!$C$3*BD35)+('Cost-Effectiveness Level'!$D$3*BE35)+('Cost-Effectiveness Level'!$E$3*BF35)</f>
        <v>27667.169645473194</v>
      </c>
      <c r="BI35" s="109"/>
      <c r="BJ35" s="109"/>
      <c r="BK35" s="362">
        <v>18867.740990331087</v>
      </c>
      <c r="BL35" s="115">
        <v>21589.51069440375</v>
      </c>
      <c r="BM35" s="115">
        <v>29825.63726926458</v>
      </c>
      <c r="BN35" s="115">
        <v>34905.332552007036</v>
      </c>
      <c r="BO35" s="358">
        <v>880</v>
      </c>
      <c r="BP35" s="363">
        <f>('Cost-Effectiveness Level'!$B$3*BK35)+('Cost-Effectiveness Level'!$C$3*BL35)+('Cost-Effectiveness Level'!$D$3*BM35)+('Cost-Effectiveness Level'!$E$3*BN35)</f>
        <v>23769.97949018459</v>
      </c>
    </row>
    <row r="36" spans="2:68" ht="14.25">
      <c r="B36" s="290">
        <f>IF('850SF'!$AD48&gt;=1,'UA Optimizer'!$U54,'UA Optimizer'!$U53)</f>
        <v>224.13999999999996</v>
      </c>
      <c r="C36" s="524" t="b">
        <f t="shared" si="6"/>
        <v>0</v>
      </c>
      <c r="D36" s="290">
        <f>IF('1350SF'!$AD54&gt;=1,'UA Optimizer'!$AA54,'UA Optimizer'!$AA53)</f>
        <v>340.1289999999999</v>
      </c>
      <c r="E36" s="292" t="b">
        <f t="shared" si="7"/>
        <v>0</v>
      </c>
      <c r="F36" s="532">
        <f>IF('2184SF'!$AD52&gt;=1,'UA Optimizer'!$AG54,'UA Optimizer'!$AG53)</f>
        <v>554.0052</v>
      </c>
      <c r="G36" s="292" t="b">
        <f t="shared" si="8"/>
        <v>0</v>
      </c>
      <c r="R36" s="300" t="s">
        <v>208</v>
      </c>
      <c r="S36" s="298">
        <f>T36+U36</f>
        <v>14345.404926385576</v>
      </c>
      <c r="T36" s="302">
        <v>10872.551418754543</v>
      </c>
      <c r="U36" s="302">
        <f>'UA Optimizer'!E154</f>
        <v>3472.853507631033</v>
      </c>
      <c r="V36" s="645">
        <f>'UA Optimizer'!E$126</f>
        <v>1230.0254590235586</v>
      </c>
      <c r="AU36" s="362">
        <v>22652.827424553183</v>
      </c>
      <c r="AV36" s="115">
        <v>25985.232932903607</v>
      </c>
      <c r="AW36" s="115">
        <v>34522.29709932611</v>
      </c>
      <c r="AX36" s="115">
        <v>39914.532669205975</v>
      </c>
      <c r="AY36" s="358">
        <v>860</v>
      </c>
      <c r="AZ36" s="363">
        <f>('Cost-Effectiveness Level'!$B$3*AU36)+('Cost-Effectiveness Level'!$C$3*AV36)+('Cost-Effectiveness Level'!$D$3*AW36)+('Cost-Effectiveness Level'!$E$3*AX36)</f>
        <v>28149.482859654265</v>
      </c>
      <c r="BA36" s="109"/>
      <c r="BB36" s="109"/>
      <c r="BC36" s="362">
        <v>21542.68971579256</v>
      </c>
      <c r="BD36" s="115">
        <v>24730.032229709937</v>
      </c>
      <c r="BE36" s="115">
        <v>33101.464986815125</v>
      </c>
      <c r="BF36" s="115">
        <v>38473.89393495458</v>
      </c>
      <c r="BG36" s="358">
        <v>860</v>
      </c>
      <c r="BH36" s="363">
        <f>('Cost-Effectiveness Level'!$B$3*BC36)+('Cost-Effectiveness Level'!$C$3*BD36)+('Cost-Effectiveness Level'!$D$3*BE36)+('Cost-Effectiveness Level'!$E$3*BF36)</f>
        <v>26872.615001464994</v>
      </c>
      <c r="BI36" s="109"/>
      <c r="BJ36" s="109"/>
      <c r="BK36" s="362">
        <v>18250.161148549665</v>
      </c>
      <c r="BL36" s="115">
        <v>20875.710518605334</v>
      </c>
      <c r="BM36" s="115">
        <v>28914.737767360097</v>
      </c>
      <c r="BN36" s="115">
        <v>33851.36243773806</v>
      </c>
      <c r="BO36" s="358">
        <v>860</v>
      </c>
      <c r="BP36" s="363">
        <f>('Cost-Effectiveness Level'!$B$3*BK36)+('Cost-Effectiveness Level'!$C$3*BL36)+('Cost-Effectiveness Level'!$D$3*BM36)+('Cost-Effectiveness Level'!$E$3*BN36)</f>
        <v>23009.140052739527</v>
      </c>
    </row>
    <row r="37" spans="2:68" ht="14.25">
      <c r="B37" s="290">
        <f>IF('850SF'!$AD49&gt;=1,'UA Optimizer'!$U55,'UA Optimizer'!$U54)</f>
        <v>219.88999999999996</v>
      </c>
      <c r="C37" s="524" t="b">
        <f t="shared" si="6"/>
        <v>0</v>
      </c>
      <c r="D37" s="290">
        <f>IF('1350SF'!$AD55&gt;=1,'UA Optimizer'!$AA55,'UA Optimizer'!$AA54)</f>
        <v>334.7289999999999</v>
      </c>
      <c r="E37" s="292" t="b">
        <f t="shared" si="7"/>
        <v>0</v>
      </c>
      <c r="F37" s="532">
        <f>IF('2184SF'!$AD53&gt;=1,'UA Optimizer'!$AG55,'UA Optimizer'!$AG54)</f>
        <v>551.0931999999999</v>
      </c>
      <c r="G37" s="292" t="b">
        <f t="shared" si="8"/>
        <v>0</v>
      </c>
      <c r="R37" s="300" t="s">
        <v>209</v>
      </c>
      <c r="S37" s="298">
        <f>T37+U37</f>
        <v>16636.425320512128</v>
      </c>
      <c r="T37" s="302">
        <v>12714.3828501494</v>
      </c>
      <c r="U37" s="302">
        <f>'UA Optimizer'!D168</f>
        <v>3922.0424703627264</v>
      </c>
      <c r="V37" s="645">
        <f>'UA Optimizer'!E$126</f>
        <v>1230.0254590235586</v>
      </c>
      <c r="AU37" s="362">
        <v>21992.5578669792</v>
      </c>
      <c r="AV37" s="115">
        <v>25232.786404922357</v>
      </c>
      <c r="AW37" s="115">
        <v>33574.18693231761</v>
      </c>
      <c r="AX37" s="115">
        <v>38833.69469674773</v>
      </c>
      <c r="AY37" s="358">
        <v>840</v>
      </c>
      <c r="AZ37" s="363">
        <f>('Cost-Effectiveness Level'!$B$3*AU37)+('Cost-Effectiveness Level'!$C$3*AV37)+('Cost-Effectiveness Level'!$D$3*AW37)+('Cost-Effectiveness Level'!$E$3*AX37)</f>
        <v>27350.136243773806</v>
      </c>
      <c r="BA37" s="109"/>
      <c r="BB37" s="109"/>
      <c r="BC37" s="362">
        <v>20888.63170231468</v>
      </c>
      <c r="BD37" s="115">
        <v>23981.83416349253</v>
      </c>
      <c r="BE37" s="115">
        <v>32159.419865221218</v>
      </c>
      <c r="BF37" s="115">
        <v>37396.396132434806</v>
      </c>
      <c r="BG37" s="358">
        <v>840</v>
      </c>
      <c r="BH37" s="363">
        <f>('Cost-Effectiveness Level'!$B$3*BC37)+('Cost-Effectiveness Level'!$C$3*BD37)+('Cost-Effectiveness Level'!$D$3*BE37)+('Cost-Effectiveness Level'!$E$3*BF37)</f>
        <v>26078.31819513625</v>
      </c>
      <c r="BI37" s="109"/>
      <c r="BJ37" s="109"/>
      <c r="BK37" s="362">
        <v>17634.866686199824</v>
      </c>
      <c r="BL37" s="115">
        <v>20165.104014063876</v>
      </c>
      <c r="BM37" s="115">
        <v>28005.42045121594</v>
      </c>
      <c r="BN37" s="115">
        <v>32797.978318195135</v>
      </c>
      <c r="BO37" s="358">
        <v>840</v>
      </c>
      <c r="BP37" s="363">
        <f>('Cost-Effectiveness Level'!$B$3*BK37)+('Cost-Effectiveness Level'!$C$3*BL37)+('Cost-Effectiveness Level'!$D$3*BM37)+('Cost-Effectiveness Level'!$E$3*BN37)</f>
        <v>22250.779372985646</v>
      </c>
    </row>
    <row r="38" spans="2:68" ht="15" thickBot="1">
      <c r="B38" s="290">
        <f>IF('850SF'!$AD50&gt;=1,'UA Optimizer'!$U56,'UA Optimizer'!$U55)</f>
        <v>210.95999999999995</v>
      </c>
      <c r="C38" s="524" t="b">
        <f t="shared" si="6"/>
        <v>0</v>
      </c>
      <c r="D38" s="290">
        <f>IF('1350SF'!$AD56&gt;=1,'UA Optimizer'!$AA56,'UA Optimizer'!$AA55)</f>
        <v>330.0039999999999</v>
      </c>
      <c r="E38" s="292" t="b">
        <f t="shared" si="7"/>
        <v>0</v>
      </c>
      <c r="F38" s="532">
        <f>IF('2184SF'!$AD54&gt;=1,'UA Optimizer'!$AG56,'UA Optimizer'!$AG55)</f>
        <v>547.4531999999999</v>
      </c>
      <c r="G38" s="292" t="b">
        <f t="shared" si="8"/>
        <v>0</v>
      </c>
      <c r="R38" s="304" t="s">
        <v>242</v>
      </c>
      <c r="S38" s="298">
        <f>T38+U38</f>
        <v>11367.804683212342</v>
      </c>
      <c r="T38" s="302">
        <v>8432.628458580162</v>
      </c>
      <c r="U38" s="302">
        <f>'UA Optimizer'!E182</f>
        <v>2935.176224632179</v>
      </c>
      <c r="V38" s="645">
        <f>'UA Optimizer'!E$126</f>
        <v>1230.0254590235586</v>
      </c>
      <c r="AU38" s="362">
        <v>21333.07940228538</v>
      </c>
      <c r="AV38" s="115">
        <v>24480.60357456783</v>
      </c>
      <c r="AW38" s="115">
        <v>32626.193964254322</v>
      </c>
      <c r="AX38" s="115">
        <v>37753.50131848813</v>
      </c>
      <c r="AY38" s="358">
        <v>820</v>
      </c>
      <c r="AZ38" s="363">
        <f>('Cost-Effectiveness Level'!$B$3*AU38)+('Cost-Effectiveness Level'!$C$3*AV38)+('Cost-Effectiveness Level'!$D$3*AW38)+('Cost-Effectiveness Level'!$E$3*AX38)</f>
        <v>26551.141224728977</v>
      </c>
      <c r="BA38" s="109"/>
      <c r="BB38" s="109"/>
      <c r="BC38" s="362">
        <v>20235.628479343686</v>
      </c>
      <c r="BD38" s="115">
        <v>23235.628479343686</v>
      </c>
      <c r="BE38" s="115">
        <v>31218.517433343102</v>
      </c>
      <c r="BF38" s="115">
        <v>36319.748022267806</v>
      </c>
      <c r="BG38" s="358">
        <v>820</v>
      </c>
      <c r="BH38" s="363">
        <f>('Cost-Effectiveness Level'!$B$3*BC38)+('Cost-Effectiveness Level'!$C$3*BD38)+('Cost-Effectiveness Level'!$D$3*BE38)+('Cost-Effectiveness Level'!$E$3*BF38)</f>
        <v>25285.556694989747</v>
      </c>
      <c r="BI38" s="109"/>
      <c r="BJ38" s="109"/>
      <c r="BK38" s="362">
        <v>17022.502197480226</v>
      </c>
      <c r="BL38" s="115">
        <v>19458.833870495168</v>
      </c>
      <c r="BM38" s="115">
        <v>27099.648403164374</v>
      </c>
      <c r="BN38" s="115">
        <v>31746.205684148845</v>
      </c>
      <c r="BO38" s="358">
        <v>820</v>
      </c>
      <c r="BP38" s="363">
        <f>('Cost-Effectiveness Level'!$B$3*BK38)+('Cost-Effectiveness Level'!$C$3*BL38)+('Cost-Effectiveness Level'!$D$3*BM38)+('Cost-Effectiveness Level'!$E$3*BN38)</f>
        <v>21496.139759742167</v>
      </c>
    </row>
    <row r="39" spans="2:68" ht="15" thickBot="1">
      <c r="B39" s="290">
        <f>IF('850SF'!$AD51&gt;=1,'UA Optimizer'!$U57,'UA Optimizer'!$U56)</f>
        <v>199.75999999999996</v>
      </c>
      <c r="C39" s="524" t="b">
        <f t="shared" si="6"/>
        <v>0</v>
      </c>
      <c r="D39" s="290">
        <f>IF('1350SF'!$AD57&gt;=1,'UA Optimizer'!$AA57,'UA Optimizer'!$AA56)</f>
        <v>315.84899999999993</v>
      </c>
      <c r="E39" s="292" t="b">
        <f t="shared" si="7"/>
        <v>0</v>
      </c>
      <c r="F39" s="532">
        <f>IF('2184SF'!$AD55&gt;=1,'UA Optimizer'!$AG57,'UA Optimizer'!$AG56)</f>
        <v>517.5282</v>
      </c>
      <c r="G39" s="292" t="b">
        <f t="shared" si="8"/>
        <v>0</v>
      </c>
      <c r="R39" s="306" t="str">
        <f>R30</f>
        <v>CASE =&gt; PNW Region</v>
      </c>
      <c r="S39" s="307">
        <f>T39+U39</f>
        <v>11367.804683212342</v>
      </c>
      <c r="T39" s="308">
        <v>8432.628458580162</v>
      </c>
      <c r="U39" s="308">
        <f>'UA Optimizer'!E196</f>
        <v>2935.176224632179</v>
      </c>
      <c r="V39" s="309">
        <f>'UA Optimizer'!E$126</f>
        <v>1230.0254590235586</v>
      </c>
      <c r="AU39" s="362">
        <v>20674.18693231761</v>
      </c>
      <c r="AV39" s="115">
        <v>23728.537943158513</v>
      </c>
      <c r="AW39" s="115">
        <v>31678.25959566364</v>
      </c>
      <c r="AX39" s="115">
        <v>36673.54233811896</v>
      </c>
      <c r="AY39" s="358">
        <v>800</v>
      </c>
      <c r="AZ39" s="363">
        <f>('Cost-Effectiveness Level'!$B$3*AU39)+('Cost-Effectiveness Level'!$C$3*AV39)+('Cost-Effectiveness Level'!$D$3*AW39)+('Cost-Effectiveness Level'!$E$3*AX39)</f>
        <v>25752.348373864636</v>
      </c>
      <c r="BA39" s="109"/>
      <c r="BB39" s="109"/>
      <c r="BC39" s="362">
        <v>19583.9437445063</v>
      </c>
      <c r="BD39" s="115">
        <v>22490.624084383242</v>
      </c>
      <c r="BE39" s="115">
        <v>30278.02519777322</v>
      </c>
      <c r="BF39" s="115">
        <v>35242.63111631996</v>
      </c>
      <c r="BG39" s="358">
        <v>800</v>
      </c>
      <c r="BH39" s="363">
        <f>('Cost-Effectiveness Level'!$B$3*BC39)+('Cost-Effectiveness Level'!$C$3*BD39)+('Cost-Effectiveness Level'!$D$3*BE39)+('Cost-Effectiveness Level'!$E$3*BF39)</f>
        <v>24493.738646352183</v>
      </c>
      <c r="BI39" s="109"/>
      <c r="BJ39" s="109"/>
      <c r="BK39" s="362">
        <v>16411.749194257252</v>
      </c>
      <c r="BL39" s="115">
        <v>18758.482273659538</v>
      </c>
      <c r="BM39" s="115">
        <v>26195.57573981834</v>
      </c>
      <c r="BN39" s="115">
        <v>30696.952827424553</v>
      </c>
      <c r="BO39" s="358">
        <v>800</v>
      </c>
      <c r="BP39" s="363">
        <f>('Cost-Effectiveness Level'!$B$3*BK39)+('Cost-Effectiveness Level'!$C$3*BL39)+('Cost-Effectiveness Level'!$D$3*BM39)+('Cost-Effectiveness Level'!$E$3*BN39)</f>
        <v>20745.332552007032</v>
      </c>
    </row>
    <row r="40" spans="2:68" ht="14.25">
      <c r="B40" s="290"/>
      <c r="C40" s="524"/>
      <c r="D40" s="290">
        <f>IF('1350SF'!$AD58&gt;=1,'UA Optimizer'!$AA58,'UA Optimizer'!$AA57)</f>
        <v>304.64899999999994</v>
      </c>
      <c r="E40" s="292" t="b">
        <f t="shared" si="7"/>
        <v>0</v>
      </c>
      <c r="F40" s="532">
        <f>IF('2184SF'!$AD56&gt;=1,'UA Optimizer'!$AG58,'UA Optimizer'!$AG57)</f>
        <v>506.3282</v>
      </c>
      <c r="G40" s="292" t="b">
        <f t="shared" si="8"/>
        <v>0</v>
      </c>
      <c r="AU40" s="362">
        <v>20016.67154995605</v>
      </c>
      <c r="AV40" s="115">
        <v>22977.52710225608</v>
      </c>
      <c r="AW40" s="115">
        <v>30730.32522707296</v>
      </c>
      <c r="AX40" s="115">
        <v>35594.31585115734</v>
      </c>
      <c r="AY40" s="358">
        <v>780</v>
      </c>
      <c r="AZ40" s="363">
        <f>('Cost-Effectiveness Level'!$B$3*AU40)+('Cost-Effectiveness Level'!$C$3*AV40)+('Cost-Effectiveness Level'!$D$3*AW40)+('Cost-Effectiveness Level'!$E$3*AX40)</f>
        <v>24954.39496044536</v>
      </c>
      <c r="BA40" s="109"/>
      <c r="BB40" s="109"/>
      <c r="BC40" s="362">
        <v>18933.81189569294</v>
      </c>
      <c r="BD40" s="115">
        <v>21746.938177556403</v>
      </c>
      <c r="BE40" s="115">
        <v>29337.415763258134</v>
      </c>
      <c r="BF40" s="115">
        <v>34165.748608262526</v>
      </c>
      <c r="BG40" s="358">
        <v>780</v>
      </c>
      <c r="BH40" s="363">
        <f>('Cost-Effectiveness Level'!$B$3*BC40)+('Cost-Effectiveness Level'!$C$3*BD40)+('Cost-Effectiveness Level'!$D$3*BE40)+('Cost-Effectiveness Level'!$E$3*BF40)</f>
        <v>23702.87283914445</v>
      </c>
      <c r="BI40" s="109"/>
      <c r="BJ40" s="109"/>
      <c r="BK40" s="362">
        <v>15802.168180486377</v>
      </c>
      <c r="BL40" s="115">
        <v>18063.05303252271</v>
      </c>
      <c r="BM40" s="115">
        <v>25296.308233225904</v>
      </c>
      <c r="BN40" s="115">
        <v>29648.49106358043</v>
      </c>
      <c r="BO40" s="358">
        <v>780</v>
      </c>
      <c r="BP40" s="363">
        <f>('Cost-Effectiveness Level'!$B$3*BK40)+('Cost-Effectiveness Level'!$C$3*BL40)+('Cost-Effectiveness Level'!$D$3*BM40)+('Cost-Effectiveness Level'!$E$3*BN40)</f>
        <v>19998.461763844127</v>
      </c>
    </row>
    <row r="41" spans="2:68" ht="14.25">
      <c r="B41" s="290"/>
      <c r="C41" s="524"/>
      <c r="D41" s="290">
        <f>IF('1350SF'!$AD59&gt;=1,'UA Optimizer'!$AA59,'UA Optimizer'!$AA58)</f>
        <v>292.40899999999993</v>
      </c>
      <c r="E41" s="292" t="b">
        <f t="shared" si="7"/>
        <v>0</v>
      </c>
      <c r="F41" s="532">
        <f>IF('2184SF'!$AD57&gt;=1,'UA Optimizer'!$AG59,'UA Optimizer'!$AG58)</f>
        <v>494.0882</v>
      </c>
      <c r="G41" s="292" t="b">
        <f t="shared" si="8"/>
        <v>0</v>
      </c>
      <c r="AU41" s="362">
        <v>19359.419865221214</v>
      </c>
      <c r="AV41" s="115">
        <v>22226.721359507766</v>
      </c>
      <c r="AW41" s="115">
        <v>29782.537357163787</v>
      </c>
      <c r="AX41" s="115">
        <v>34515.49956050396</v>
      </c>
      <c r="AY41" s="358">
        <v>760</v>
      </c>
      <c r="AZ41" s="363">
        <f>('Cost-Effectiveness Level'!$B$3*AU41)+('Cost-Effectiveness Level'!$C$3*AV41)+('Cost-Effectiveness Level'!$D$3*AW41)+('Cost-Effectiveness Level'!$E$3*AX41)</f>
        <v>24156.653970114272</v>
      </c>
      <c r="BA41" s="109"/>
      <c r="BB41" s="109"/>
      <c r="BC41" s="362">
        <v>18284.705537650163</v>
      </c>
      <c r="BD41" s="115">
        <v>21004.629358335776</v>
      </c>
      <c r="BE41" s="115">
        <v>28397.773220041025</v>
      </c>
      <c r="BF41" s="115">
        <v>33089.36419572224</v>
      </c>
      <c r="BG41" s="358">
        <v>760</v>
      </c>
      <c r="BH41" s="363">
        <f>('Cost-Effectiveness Level'!$B$3*BC41)+('Cost-Effectiveness Level'!$C$3*BD41)+('Cost-Effectiveness Level'!$D$3*BE41)+('Cost-Effectiveness Level'!$E$3*BF41)</f>
        <v>22913.16730149429</v>
      </c>
      <c r="BI41" s="109"/>
      <c r="BJ41" s="109"/>
      <c r="BK41" s="362">
        <v>15192.880164078524</v>
      </c>
      <c r="BL41" s="115">
        <v>17371.960152358628</v>
      </c>
      <c r="BM41" s="115">
        <v>24400.23439789042</v>
      </c>
      <c r="BN41" s="115">
        <v>28606.533841195433</v>
      </c>
      <c r="BO41" s="358">
        <v>760</v>
      </c>
      <c r="BP41" s="363">
        <f>('Cost-Effectiveness Level'!$B$3*BK41)+('Cost-Effectiveness Level'!$C$3*BL41)+('Cost-Effectiveness Level'!$D$3*BM41)+('Cost-Effectiveness Level'!$E$3*BN41)</f>
        <v>19254.941400527394</v>
      </c>
    </row>
    <row r="42" spans="2:68" ht="15" thickBot="1">
      <c r="B42" s="528"/>
      <c r="C42" s="530"/>
      <c r="D42" s="426">
        <f>IF('1350SF'!$AD60&gt;=1,'UA Optimizer'!$AA60,'UA Optimizer'!$AA59)</f>
        <v>291.19399999999996</v>
      </c>
      <c r="E42" s="525" t="b">
        <f t="shared" si="7"/>
        <v>0</v>
      </c>
      <c r="F42" s="629"/>
      <c r="G42" s="525"/>
      <c r="AU42" s="362">
        <v>18703.34016993847</v>
      </c>
      <c r="AV42" s="115">
        <v>21475.76911807794</v>
      </c>
      <c r="AW42" s="115">
        <v>28834.808086727222</v>
      </c>
      <c r="AX42" s="115">
        <v>33436.302373278646</v>
      </c>
      <c r="AY42" s="358">
        <v>740</v>
      </c>
      <c r="AZ42" s="363">
        <f>('Cost-Effectiveness Level'!$B$3*AU42)+('Cost-Effectiveness Level'!$C$3*AV42)+('Cost-Effectiveness Level'!$D$3*AW42)+('Cost-Effectiveness Level'!$E$3*AX42)</f>
        <v>23359.069733372406</v>
      </c>
      <c r="BA42" s="109"/>
      <c r="BB42" s="109"/>
      <c r="BC42" s="362">
        <v>17636.77116905948</v>
      </c>
      <c r="BD42" s="115">
        <v>20262.46703779666</v>
      </c>
      <c r="BE42" s="115">
        <v>27459.419865221214</v>
      </c>
      <c r="BF42" s="115">
        <v>32013.97597421623</v>
      </c>
      <c r="BG42" s="358">
        <v>740</v>
      </c>
      <c r="BH42" s="363">
        <f>('Cost-Effectiveness Level'!$B$3*BC42)+('Cost-Effectiveness Level'!$C$3*BD42)+('Cost-Effectiveness Level'!$D$3*BE42)+('Cost-Effectiveness Level'!$E$3*BF42)</f>
        <v>22124.141517726344</v>
      </c>
      <c r="BI42" s="109"/>
      <c r="BJ42" s="109"/>
      <c r="BK42" s="362">
        <v>14586.961617345445</v>
      </c>
      <c r="BL42" s="115">
        <v>16683.59214767067</v>
      </c>
      <c r="BM42" s="115">
        <v>23505.215353061823</v>
      </c>
      <c r="BN42" s="115">
        <v>27570.905361851746</v>
      </c>
      <c r="BO42" s="358">
        <v>740</v>
      </c>
      <c r="BP42" s="363">
        <f>('Cost-Effectiveness Level'!$B$3*BK42)+('Cost-Effectiveness Level'!$C$3*BL42)+('Cost-Effectiveness Level'!$D$3*BM42)+('Cost-Effectiveness Level'!$E$3*BN42)</f>
        <v>18514.03750366247</v>
      </c>
    </row>
    <row r="43" spans="47:68" ht="14.25">
      <c r="AU43" s="362">
        <v>18047.670670963962</v>
      </c>
      <c r="AV43" s="115">
        <v>20725.520070319366</v>
      </c>
      <c r="AW43" s="115">
        <v>27888.45590389687</v>
      </c>
      <c r="AX43" s="115">
        <v>32357.310284207444</v>
      </c>
      <c r="AY43" s="358">
        <v>720</v>
      </c>
      <c r="AZ43" s="363">
        <f>('Cost-Effectiveness Level'!$B$3*AU43)+('Cost-Effectiveness Level'!$C$3*AV43)+('Cost-Effectiveness Level'!$D$3*AW43)+('Cost-Effectiveness Level'!$E$3*AX43)</f>
        <v>22562.273659537062</v>
      </c>
      <c r="BA43" s="109"/>
      <c r="BB43" s="109"/>
      <c r="BC43" s="362">
        <v>16993.143861705244</v>
      </c>
      <c r="BD43" s="115">
        <v>19520.216818048637</v>
      </c>
      <c r="BE43" s="115">
        <v>26522.06270143569</v>
      </c>
      <c r="BF43" s="115">
        <v>30940.287137415766</v>
      </c>
      <c r="BG43" s="358">
        <v>720</v>
      </c>
      <c r="BH43" s="363">
        <f>('Cost-Effectiveness Level'!$B$3*BC43)+('Cost-Effectiveness Level'!$C$3*BD43)+('Cost-Effectiveness Level'!$D$3*BE43)+('Cost-Effectiveness Level'!$E$3*BF43)</f>
        <v>21336.26721359508</v>
      </c>
      <c r="BI43" s="109"/>
      <c r="BJ43" s="109"/>
      <c r="BK43" s="362">
        <v>13985.672428948139</v>
      </c>
      <c r="BL43" s="115">
        <v>15997.919718722533</v>
      </c>
      <c r="BM43" s="115">
        <v>22611.368297685323</v>
      </c>
      <c r="BN43" s="115">
        <v>26539.027248754763</v>
      </c>
      <c r="BO43" s="358">
        <v>720</v>
      </c>
      <c r="BP43" s="363">
        <f>('Cost-Effectiveness Level'!$B$3*BK43)+('Cost-Effectiveness Level'!$C$3*BL43)+('Cost-Effectiveness Level'!$D$3*BM43)+('Cost-Effectiveness Level'!$E$3*BN43)</f>
        <v>17775.887782009962</v>
      </c>
    </row>
    <row r="44" spans="47:68" ht="15" thickBot="1">
      <c r="AU44" s="362">
        <v>17392.32346908878</v>
      </c>
      <c r="AV44" s="115">
        <v>19975.827717550543</v>
      </c>
      <c r="AW44" s="115">
        <v>26943.09991210079</v>
      </c>
      <c r="AX44" s="115">
        <v>31278.49399355406</v>
      </c>
      <c r="AY44" s="358">
        <v>700</v>
      </c>
      <c r="AZ44" s="363">
        <f>('Cost-Effectiveness Level'!$B$3*AU44)+('Cost-Effectiveness Level'!$C$3*AV44)+('Cost-Effectiveness Level'!$D$3*AW44)+('Cost-Effectiveness Level'!$E$3*AX44)</f>
        <v>21766.07823029593</v>
      </c>
      <c r="BA44" s="109"/>
      <c r="BB44" s="109"/>
      <c r="BC44" s="362">
        <v>16352.065631409318</v>
      </c>
      <c r="BD44" s="115">
        <v>18780.01757984178</v>
      </c>
      <c r="BE44" s="115">
        <v>25586.932317609142</v>
      </c>
      <c r="BF44" s="115">
        <v>29868.707881629067</v>
      </c>
      <c r="BG44" s="358">
        <v>700</v>
      </c>
      <c r="BH44" s="363">
        <f>('Cost-Effectiveness Level'!$B$3*BC44)+('Cost-Effectiveness Level'!$C$3*BD44)+('Cost-Effectiveness Level'!$D$3*BE44)+('Cost-Effectiveness Level'!$E$3*BF44)</f>
        <v>20550.590389686495</v>
      </c>
      <c r="BI44" s="109"/>
      <c r="BJ44" s="109"/>
      <c r="BK44" s="362">
        <v>13389.01259888661</v>
      </c>
      <c r="BL44" s="115">
        <v>15315.44096103135</v>
      </c>
      <c r="BM44" s="115">
        <v>21719.542924113684</v>
      </c>
      <c r="BN44" s="115">
        <v>25513.507178435397</v>
      </c>
      <c r="BO44" s="358">
        <v>700</v>
      </c>
      <c r="BP44" s="363">
        <f>('Cost-Effectiveness Level'!$B$3*BK44)+('Cost-Effectiveness Level'!$C$3*BL44)+('Cost-Effectiveness Level'!$D$3*BM44)+('Cost-Effectiveness Level'!$E$3*BN44)</f>
        <v>17041.08409024319</v>
      </c>
    </row>
    <row r="45" spans="1:68" ht="15" thickBot="1">
      <c r="A45" s="754" t="s">
        <v>503</v>
      </c>
      <c r="B45" s="755"/>
      <c r="C45" s="755"/>
      <c r="D45" s="755"/>
      <c r="E45" s="755"/>
      <c r="F45" s="755"/>
      <c r="G45" s="755"/>
      <c r="H45" s="756"/>
      <c r="AU45" s="362">
        <v>16737.796659830063</v>
      </c>
      <c r="AV45" s="115">
        <v>19226.985057134487</v>
      </c>
      <c r="AW45" s="115">
        <v>25999.44330501026</v>
      </c>
      <c r="AX45" s="115">
        <v>30199.941400527394</v>
      </c>
      <c r="AY45" s="358">
        <v>680</v>
      </c>
      <c r="AZ45" s="363">
        <f>('Cost-Effectiveness Level'!$B$3*AU45)+('Cost-Effectiveness Level'!$C$3*AV45)+('Cost-Effectiveness Level'!$D$3*AW45)+('Cost-Effectiveness Level'!$E$3*AX45)</f>
        <v>20970.90975681219</v>
      </c>
      <c r="BA45" s="109"/>
      <c r="BB45" s="109"/>
      <c r="BC45" s="362">
        <v>15712.159390565485</v>
      </c>
      <c r="BD45" s="115">
        <v>18042.279519484327</v>
      </c>
      <c r="BE45" s="115">
        <v>24654.380310577206</v>
      </c>
      <c r="BF45" s="115">
        <v>28798.359214767068</v>
      </c>
      <c r="BG45" s="358">
        <v>680</v>
      </c>
      <c r="BH45" s="363">
        <f>('Cost-Effectiveness Level'!$B$3*BC45)+('Cost-Effectiveness Level'!$C$3*BD45)+('Cost-Effectiveness Level'!$D$3*BE45)+('Cost-Effectiveness Level'!$E$3*BF45)</f>
        <v>19767.084676237915</v>
      </c>
      <c r="BI45" s="109"/>
      <c r="BJ45" s="109"/>
      <c r="BK45" s="362">
        <v>12792.997363023733</v>
      </c>
      <c r="BL45" s="115">
        <v>14634.485789627894</v>
      </c>
      <c r="BM45" s="115">
        <v>20827.571051860534</v>
      </c>
      <c r="BN45" s="115">
        <v>24489.59859361266</v>
      </c>
      <c r="BO45" s="358">
        <v>680</v>
      </c>
      <c r="BP45" s="363">
        <f>('Cost-Effectiveness Level'!$B$3*BK45)+('Cost-Effectiveness Level'!$C$3*BL45)+('Cost-Effectiveness Level'!$D$3*BM45)+('Cost-Effectiveness Level'!$E$3*BN45)</f>
        <v>16307.215060064458</v>
      </c>
    </row>
    <row r="46" spans="1:68" ht="15" thickBot="1">
      <c r="A46" s="533" t="s">
        <v>189</v>
      </c>
      <c r="B46" s="750">
        <f>B25</f>
        <v>850</v>
      </c>
      <c r="C46" s="751"/>
      <c r="D46" s="750">
        <f>D25</f>
        <v>1350</v>
      </c>
      <c r="E46" s="751"/>
      <c r="F46" s="752">
        <f>F25</f>
        <v>2184</v>
      </c>
      <c r="G46" s="753"/>
      <c r="H46" s="535" t="s">
        <v>240</v>
      </c>
      <c r="AU46" s="362">
        <v>16084.324641078232</v>
      </c>
      <c r="AV46" s="115">
        <v>18479.37298564313</v>
      </c>
      <c r="AW46" s="115">
        <v>25057.54468209786</v>
      </c>
      <c r="AX46" s="115">
        <v>29122.209200117202</v>
      </c>
      <c r="AY46" s="358">
        <v>660</v>
      </c>
      <c r="AZ46" s="363">
        <f>('Cost-Effectiveness Level'!$B$3*AU46)+('Cost-Effectiveness Level'!$C$3*AV46)+('Cost-Effectiveness Level'!$D$3*AW46)+('Cost-Effectiveness Level'!$E$3*AX46)</f>
        <v>20177.048051567537</v>
      </c>
      <c r="BA46" s="109"/>
      <c r="BB46" s="109"/>
      <c r="BC46" s="362">
        <v>15073.337239964842</v>
      </c>
      <c r="BD46" s="115">
        <v>17306.592440668035</v>
      </c>
      <c r="BE46" s="115">
        <v>23723.381189569292</v>
      </c>
      <c r="BF46" s="115">
        <v>27728.450043949604</v>
      </c>
      <c r="BG46" s="358">
        <v>660</v>
      </c>
      <c r="BH46" s="363">
        <f>('Cost-Effectiveness Level'!$B$3*BC46)+('Cost-Effectiveness Level'!$C$3*BD46)+('Cost-Effectiveness Level'!$D$3*BE46)+('Cost-Effectiveness Level'!$E$3*BF46)</f>
        <v>18985.23146791679</v>
      </c>
      <c r="BI46" s="109"/>
      <c r="BJ46" s="109"/>
      <c r="BK46" s="362">
        <v>12197.919718722533</v>
      </c>
      <c r="BL46" s="115">
        <v>13953.911514796368</v>
      </c>
      <c r="BM46" s="115">
        <v>19938.587752710224</v>
      </c>
      <c r="BN46" s="115">
        <v>23469.70407266335</v>
      </c>
      <c r="BO46" s="358">
        <v>660</v>
      </c>
      <c r="BP46" s="363">
        <f>('Cost-Effectiveness Level'!$B$3*BK46)+('Cost-Effectiveness Level'!$C$3*BL46)+('Cost-Effectiveness Level'!$D$3*BM46)+('Cost-Effectiveness Level'!$E$3*BN46)</f>
        <v>15574.671842953414</v>
      </c>
    </row>
    <row r="47" spans="1:68" ht="15" thickBot="1">
      <c r="A47" s="534" t="s">
        <v>504</v>
      </c>
      <c r="B47" s="555">
        <f>(INDEX(B49:B62,MATCH(TRUE,C49:C62,0)))</f>
        <v>4064.114749736161</v>
      </c>
      <c r="C47" s="556"/>
      <c r="D47" s="555">
        <f>INDEX(D49:D65,MATCH(TRUE,E49:E65,0))</f>
        <v>6227.603830933442</v>
      </c>
      <c r="E47" s="556"/>
      <c r="F47" s="555">
        <f>INDEX(F49:F64,MATCH(TRUE,G49:G64,0))</f>
        <v>8609.447878481893</v>
      </c>
      <c r="G47" s="556"/>
      <c r="H47" s="538">
        <f>(B47*I$3)+(D47*J$3)+(F47*K$3)</f>
        <v>6795.280514664335</v>
      </c>
      <c r="AU47" s="362">
        <v>15432.34690887782</v>
      </c>
      <c r="AV47" s="115">
        <v>17733.636097275124</v>
      </c>
      <c r="AW47" s="115">
        <v>24116.319953120423</v>
      </c>
      <c r="AX47" s="115">
        <v>28045.32669205977</v>
      </c>
      <c r="AY47" s="358">
        <v>640</v>
      </c>
      <c r="AZ47" s="363">
        <f>('Cost-Effectiveness Level'!$B$3*AU47)+('Cost-Effectiveness Level'!$C$3*AV47)+('Cost-Effectiveness Level'!$D$3*AW47)+('Cost-Effectiveness Level'!$E$3*AX47)</f>
        <v>19384.63375329622</v>
      </c>
      <c r="BA47" s="109"/>
      <c r="BB47" s="109"/>
      <c r="BC47" s="362">
        <v>14436.888368004687</v>
      </c>
      <c r="BD47" s="115">
        <v>16571.98945209493</v>
      </c>
      <c r="BE47" s="115">
        <v>22794.57954878406</v>
      </c>
      <c r="BF47" s="115">
        <v>26658.45297392324</v>
      </c>
      <c r="BG47" s="358">
        <v>640</v>
      </c>
      <c r="BH47" s="363">
        <f>('Cost-Effectiveness Level'!$B$3*BC47)+('Cost-Effectiveness Level'!$C$3*BD47)+('Cost-Effectiveness Level'!$D$3*BE47)+('Cost-Effectiveness Level'!$E$3*BF47)</f>
        <v>18204.939935540584</v>
      </c>
      <c r="BI47" s="109"/>
      <c r="BJ47" s="109"/>
      <c r="BK47" s="362">
        <v>11606.182244359801</v>
      </c>
      <c r="BL47" s="115">
        <v>13276.325813067682</v>
      </c>
      <c r="BM47" s="115">
        <v>19055.610899501906</v>
      </c>
      <c r="BN47" s="115">
        <v>22455.493700556697</v>
      </c>
      <c r="BO47" s="358">
        <v>640</v>
      </c>
      <c r="BP47" s="363">
        <f>('Cost-Effectiveness Level'!$B$3*BK47)+('Cost-Effectiveness Level'!$C$3*BL47)+('Cost-Effectiveness Level'!$D$3*BM47)+('Cost-Effectiveness Level'!$E$3*BN47)</f>
        <v>14846.076765309113</v>
      </c>
    </row>
    <row r="48" spans="1:68" ht="15" thickBot="1">
      <c r="A48" s="534" t="s">
        <v>568</v>
      </c>
      <c r="B48" s="596">
        <f>B47-(-0.000173*('Cost-Effectiveness Level'!$B$23^3)+0.23079*('Cost-Effectiveness Level'!$B$23^2)-111.685715*'Cost-Effectiveness Level'!$B$23+20077.668275)</f>
        <v>814.960470221883</v>
      </c>
      <c r="C48" s="597"/>
      <c r="D48" s="596">
        <f>D47-(-0.0000831*('Cost-Effectiveness Level'!$C$23^3)+0.1631576*('Cost-Effectiveness Level'!$C$23^2)-115.2334046*'Cost-Effectiveness Level'!$C$23+30121.2586611)</f>
        <v>1137.6458437717029</v>
      </c>
      <c r="E48" s="597"/>
      <c r="F48" s="596">
        <f>F47-(-0.00003*('Cost-Effectiveness Level'!$D$23^3)+0.101522*('Cost-Effectiveness Level'!$D$23^2)-120.534604*'Cost-Effectiveness Level'!$D$23+49652.734713)</f>
        <v>1618.214959335659</v>
      </c>
      <c r="G48" s="597"/>
      <c r="H48" s="538">
        <f>(B48*I$3)+(D48*J$3)+(F48*K$3)</f>
        <v>1274.9477975986003</v>
      </c>
      <c r="AU48" s="362">
        <v>14782.332259009669</v>
      </c>
      <c r="AV48" s="115">
        <v>16989.59859361266</v>
      </c>
      <c r="AW48" s="115">
        <v>23175.827717550546</v>
      </c>
      <c r="AX48" s="115">
        <v>26969.23527688251</v>
      </c>
      <c r="AY48" s="358">
        <v>620</v>
      </c>
      <c r="AZ48" s="363">
        <f>('Cost-Effectiveness Level'!$B$3*AU48)+('Cost-Effectiveness Level'!$C$3*AV48)+('Cost-Effectiveness Level'!$D$3*AW48)+('Cost-Effectiveness Level'!$E$3*AX48)</f>
        <v>18593.68444184003</v>
      </c>
      <c r="BA48" s="109"/>
      <c r="BB48" s="109"/>
      <c r="BC48" s="362">
        <v>13804.57075886317</v>
      </c>
      <c r="BD48" s="115">
        <v>15838.14825666569</v>
      </c>
      <c r="BE48" s="115">
        <v>21870.377966598302</v>
      </c>
      <c r="BF48" s="115">
        <v>25589.569293876357</v>
      </c>
      <c r="BG48" s="358">
        <v>620</v>
      </c>
      <c r="BH48" s="363">
        <f>('Cost-Effectiveness Level'!$B$3*BC48)+('Cost-Effectiveness Level'!$C$3*BD48)+('Cost-Effectiveness Level'!$D$3*BE48)+('Cost-Effectiveness Level'!$E$3*BF48)</f>
        <v>17427.061236448873</v>
      </c>
      <c r="BI48" s="109"/>
      <c r="BJ48" s="109"/>
      <c r="BK48" s="362">
        <v>11017.491942572517</v>
      </c>
      <c r="BL48" s="115">
        <v>12605.215353061823</v>
      </c>
      <c r="BM48" s="115">
        <v>18178.523293290364</v>
      </c>
      <c r="BN48" s="115">
        <v>21443.334309991213</v>
      </c>
      <c r="BO48" s="358">
        <v>620</v>
      </c>
      <c r="BP48" s="363">
        <f>('Cost-Effectiveness Level'!$B$3*BK48)+('Cost-Effectiveness Level'!$C$3*BL48)+('Cost-Effectiveness Level'!$D$3*BM48)+('Cost-Effectiveness Level'!$E$3*BN48)</f>
        <v>14122.903603867568</v>
      </c>
    </row>
    <row r="49" spans="1:68" ht="14.25">
      <c r="A49" s="5"/>
      <c r="B49" s="470">
        <f>IF('850SF'!$AD39&gt;=1,'UA Optimizer'!$W45,'UA Optimizer'!$W44)</f>
        <v>732.6936963096837</v>
      </c>
      <c r="C49" s="553" t="b">
        <f>AND(B49=B50,B50&lt;B51)</f>
        <v>0</v>
      </c>
      <c r="D49" s="332">
        <f>IF('1350SF'!$AD45&gt;=1,'UA Optimizer'!$AC45,'UA Optimizer'!$AC44)</f>
        <v>349.1069964769669</v>
      </c>
      <c r="E49" s="541" t="b">
        <f>AND(D49=D50,D50&lt;D51)</f>
        <v>0</v>
      </c>
      <c r="F49" s="554">
        <f>IF('2184SF'!$AD43&gt;=1,'UA Optimizer'!$AI45,'UA Optimizer'!$AI44)</f>
        <v>299.75</v>
      </c>
      <c r="G49" s="541" t="b">
        <f>AND(F49=F50,F50&lt;F51)</f>
        <v>0</v>
      </c>
      <c r="AU49" s="362">
        <v>14134.016993847057</v>
      </c>
      <c r="AV49" s="115">
        <v>16246.9088778201</v>
      </c>
      <c r="AW49" s="115">
        <v>22236.62467037797</v>
      </c>
      <c r="AX49" s="115">
        <v>25894.550249047763</v>
      </c>
      <c r="AY49" s="358">
        <v>600</v>
      </c>
      <c r="AZ49" s="363">
        <f>('Cost-Effectiveness Level'!$B$3*AU49)+('Cost-Effectiveness Level'!$C$3*AV49)+('Cost-Effectiveness Level'!$D$3*AW49)+('Cost-Effectiveness Level'!$E$3*AX49)</f>
        <v>17804.14151772634</v>
      </c>
      <c r="BA49" s="109"/>
      <c r="BB49" s="109"/>
      <c r="BC49" s="362">
        <v>13175.417521242309</v>
      </c>
      <c r="BD49" s="115">
        <v>15108.233225900969</v>
      </c>
      <c r="BE49" s="115">
        <v>20947.582771755056</v>
      </c>
      <c r="BF49" s="115">
        <v>24521.71110460006</v>
      </c>
      <c r="BG49" s="358">
        <v>600</v>
      </c>
      <c r="BH49" s="363">
        <f>('Cost-Effectiveness Level'!$B$3*BC49)+('Cost-Effectiveness Level'!$C$3*BD49)+('Cost-Effectiveness Level'!$D$3*BE49)+('Cost-Effectiveness Level'!$E$3*BF49)</f>
        <v>16652.181365367713</v>
      </c>
      <c r="BI49" s="109"/>
      <c r="BJ49" s="109"/>
      <c r="BK49" s="362">
        <v>10433.138001757985</v>
      </c>
      <c r="BL49" s="115">
        <v>11942.631116319953</v>
      </c>
      <c r="BM49" s="115">
        <v>17309.317316144155</v>
      </c>
      <c r="BN49" s="115">
        <v>20437.972458247878</v>
      </c>
      <c r="BO49" s="358">
        <v>600</v>
      </c>
      <c r="BP49" s="363">
        <f>('Cost-Effectiveness Level'!$B$3*BK49)+('Cost-Effectiveness Level'!$C$3*BL49)+('Cost-Effectiveness Level'!$D$3*BM49)+('Cost-Effectiveness Level'!$E$3*BN49)</f>
        <v>13407.171110460007</v>
      </c>
    </row>
    <row r="50" spans="2:68" ht="14.25">
      <c r="B50" s="453">
        <f>IF('850SF'!$AD40&gt;=1,'UA Optimizer'!$W46,'UA Optimizer'!$W45)</f>
        <v>1242.6936963096837</v>
      </c>
      <c r="C50" s="524" t="b">
        <f aca="true" t="shared" si="9" ref="C50:C61">AND(B50=B51,B51&lt;B52)</f>
        <v>0</v>
      </c>
      <c r="D50" s="332">
        <f>IF('1350SF'!$AD46&gt;=1,'UA Optimizer'!$AC46,'UA Optimizer'!$AC45)</f>
        <v>1163.6899882565563</v>
      </c>
      <c r="E50" s="292" t="b">
        <f aca="true" t="shared" si="10" ref="E50:E64">AND(D50=D51,D51&lt;D52)</f>
        <v>0</v>
      </c>
      <c r="F50" s="331">
        <f>IF('2184SF'!$AD44&gt;=1,'UA Optimizer'!$AI46,'UA Optimizer'!$AI45)</f>
        <v>927.2806010746467</v>
      </c>
      <c r="G50" s="292" t="b">
        <f aca="true" t="shared" si="11" ref="G50:G63">AND(F50=F51,F51&lt;F52)</f>
        <v>0</v>
      </c>
      <c r="AU50" s="362">
        <v>13486.610020509817</v>
      </c>
      <c r="AV50" s="115">
        <v>15505.068854380312</v>
      </c>
      <c r="AW50" s="115">
        <v>21299.179607383536</v>
      </c>
      <c r="AX50" s="115">
        <v>24819.63082332259</v>
      </c>
      <c r="AY50" s="358">
        <v>580</v>
      </c>
      <c r="AZ50" s="363">
        <f>('Cost-Effectiveness Level'!$B$3*AU50)+('Cost-Effectiveness Level'!$C$3*AV50)+('Cost-Effectiveness Level'!$D$3*AW50)+('Cost-Effectiveness Level'!$E$3*AX50)</f>
        <v>17015.632874304134</v>
      </c>
      <c r="BA50" s="109"/>
      <c r="BB50" s="109"/>
      <c r="BC50" s="362">
        <v>12547.377673600937</v>
      </c>
      <c r="BD50" s="115">
        <v>14382.390858482275</v>
      </c>
      <c r="BE50" s="115">
        <v>20026.54556108995</v>
      </c>
      <c r="BF50" s="115">
        <v>23454.995605039556</v>
      </c>
      <c r="BG50" s="358">
        <v>580</v>
      </c>
      <c r="BH50" s="363">
        <f>('Cost-Effectiveness Level'!$B$3*BC50)+('Cost-Effectiveness Level'!$C$3*BD50)+('Cost-Effectiveness Level'!$D$3*BE50)+('Cost-Effectiveness Level'!$E$3*BF50)</f>
        <v>15880.05713448579</v>
      </c>
      <c r="BI50" s="109"/>
      <c r="BJ50" s="109"/>
      <c r="BK50" s="362">
        <v>9853.0911221799</v>
      </c>
      <c r="BL50" s="115">
        <v>11289.012598886611</v>
      </c>
      <c r="BM50" s="115">
        <v>16446.76237913859</v>
      </c>
      <c r="BN50" s="115">
        <v>19440.785232932903</v>
      </c>
      <c r="BO50" s="358">
        <v>580</v>
      </c>
      <c r="BP50" s="363">
        <f>('Cost-Effectiveness Level'!$B$3*BK50)+('Cost-Effectiveness Level'!$C$3*BL50)+('Cost-Effectiveness Level'!$D$3*BM50)+('Cost-Effectiveness Level'!$E$3*BN50)</f>
        <v>12698.854380310579</v>
      </c>
    </row>
    <row r="51" spans="2:68" ht="14.25">
      <c r="B51" s="453">
        <f>IF('850SF'!$AD41&gt;=1,'UA Optimizer'!$W47,'UA Optimizer'!$W46)</f>
        <v>1896.8117290550767</v>
      </c>
      <c r="C51" s="524" t="b">
        <f t="shared" si="9"/>
        <v>0</v>
      </c>
      <c r="D51" s="332">
        <f>IF('1350SF'!$AD47&gt;=1,'UA Optimizer'!$AC47,'UA Optimizer'!$AC46)</f>
        <v>1973.6899882565563</v>
      </c>
      <c r="E51" s="292" t="b">
        <f t="shared" si="10"/>
        <v>0</v>
      </c>
      <c r="F51" s="331">
        <f>IF('2184SF'!$AD45&gt;=1,'UA Optimizer'!$AI47,'UA Optimizer'!$AI46)</f>
        <v>1364.0806010746467</v>
      </c>
      <c r="G51" s="292" t="b">
        <f t="shared" si="11"/>
        <v>0</v>
      </c>
      <c r="AU51" s="362">
        <v>12841.664225021976</v>
      </c>
      <c r="AV51" s="115">
        <v>14764.693817755642</v>
      </c>
      <c r="AW51" s="115">
        <v>20362.261939642543</v>
      </c>
      <c r="AX51" s="115">
        <v>23745.150893641956</v>
      </c>
      <c r="AY51" s="358">
        <v>560</v>
      </c>
      <c r="AZ51" s="363">
        <f>('Cost-Effectiveness Level'!$B$3*AU51)+('Cost-Effectiveness Level'!$C$3*AV51)+('Cost-Effectiveness Level'!$D$3*AW51)+('Cost-Effectiveness Level'!$E$3*AX51)</f>
        <v>16228.50278347495</v>
      </c>
      <c r="BA51" s="109"/>
      <c r="BB51" s="109"/>
      <c r="BC51" s="362">
        <v>11919.455024904775</v>
      </c>
      <c r="BD51" s="115">
        <v>13660.474655728098</v>
      </c>
      <c r="BE51" s="115">
        <v>19109.14151772634</v>
      </c>
      <c r="BF51" s="115">
        <v>22391.415177263403</v>
      </c>
      <c r="BG51" s="358">
        <v>560</v>
      </c>
      <c r="BH51" s="363">
        <f>('Cost-Effectiveness Level'!$B$3*BC51)+('Cost-Effectiveness Level'!$C$3*BD51)+('Cost-Effectiveness Level'!$D$3*BE51)+('Cost-Effectiveness Level'!$E$3*BF51)</f>
        <v>15110.98447113976</v>
      </c>
      <c r="BI51" s="109"/>
      <c r="BJ51" s="109"/>
      <c r="BK51" s="362">
        <v>9273.981834163493</v>
      </c>
      <c r="BL51" s="115">
        <v>10644.389100498098</v>
      </c>
      <c r="BM51" s="115">
        <v>15588.51450336947</v>
      </c>
      <c r="BN51" s="115">
        <v>18452.036331673018</v>
      </c>
      <c r="BO51" s="358">
        <v>560</v>
      </c>
      <c r="BP51" s="363">
        <f>('Cost-Effectiveness Level'!$B$3*BK51)+('Cost-Effectiveness Level'!$C$3*BL51)+('Cost-Effectiveness Level'!$D$3*BM51)+('Cost-Effectiveness Level'!$E$3*BN51)</f>
        <v>11996.721359507765</v>
      </c>
    </row>
    <row r="52" spans="2:68" ht="14.25">
      <c r="B52" s="453">
        <f>IF('850SF'!$AD42&gt;=1,'UA Optimizer'!$W48,'UA Optimizer'!$W47)</f>
        <v>2065.642862132884</v>
      </c>
      <c r="C52" s="524" t="b">
        <f t="shared" si="9"/>
        <v>0</v>
      </c>
      <c r="D52" s="332">
        <f>IF('1350SF'!$AD48&gt;=1,'UA Optimizer'!$AC48,'UA Optimizer'!$AC47)</f>
        <v>2790.126199498028</v>
      </c>
      <c r="E52" s="292" t="b">
        <f t="shared" si="10"/>
        <v>0</v>
      </c>
      <c r="F52" s="331">
        <f>IF('2184SF'!$AD46&gt;=1,'UA Optimizer'!$AI48,'UA Optimizer'!$AI47)</f>
        <v>2592.3689070076625</v>
      </c>
      <c r="G52" s="292" t="b">
        <f t="shared" si="11"/>
        <v>0</v>
      </c>
      <c r="AU52" s="362">
        <v>12200.11719894521</v>
      </c>
      <c r="AV52" s="115">
        <v>14026.28186346323</v>
      </c>
      <c r="AW52" s="115">
        <v>19426.926457661884</v>
      </c>
      <c r="AX52" s="115">
        <v>22672.223849985352</v>
      </c>
      <c r="AY52" s="358">
        <v>540</v>
      </c>
      <c r="AZ52" s="363">
        <f>('Cost-Effectiveness Level'!$B$3*AU52)+('Cost-Effectiveness Level'!$C$3*AV52)+('Cost-Effectiveness Level'!$D$3*AW52)+('Cost-Effectiveness Level'!$E$3*AX52)</f>
        <v>15443.507178435395</v>
      </c>
      <c r="BA52" s="109"/>
      <c r="BB52" s="109"/>
      <c r="BC52" s="362">
        <v>11294.403750366248</v>
      </c>
      <c r="BD52" s="115">
        <v>12941.781423967186</v>
      </c>
      <c r="BE52" s="115">
        <v>18194.90184588339</v>
      </c>
      <c r="BF52" s="115">
        <v>21329.35833577498</v>
      </c>
      <c r="BG52" s="358">
        <v>540</v>
      </c>
      <c r="BH52" s="363">
        <f>('Cost-Effectiveness Level'!$B$3*BC52)+('Cost-Effectiveness Level'!$C$3*BD52)+('Cost-Effectiveness Level'!$D$3*BE52)+('Cost-Effectiveness Level'!$E$3*BF52)</f>
        <v>14344.96484031644</v>
      </c>
      <c r="BI52" s="109"/>
      <c r="BJ52" s="109"/>
      <c r="BK52" s="362">
        <v>8703.838265455612</v>
      </c>
      <c r="BL52" s="115">
        <v>10003.603867565193</v>
      </c>
      <c r="BM52" s="115">
        <v>14732.610606504542</v>
      </c>
      <c r="BN52" s="115">
        <v>17478.318195136246</v>
      </c>
      <c r="BO52" s="358">
        <v>540</v>
      </c>
      <c r="BP52" s="363">
        <f>('Cost-Effectiveness Level'!$B$3*BK52)+('Cost-Effectiveness Level'!$C$3*BL52)+('Cost-Effectiveness Level'!$D$3*BM52)+('Cost-Effectiveness Level'!$E$3*BN52)</f>
        <v>11299.638148256665</v>
      </c>
    </row>
    <row r="53" spans="2:68" ht="14.25">
      <c r="B53" s="453">
        <f>IF('850SF'!$AD43&gt;=1,'UA Optimizer'!$W49,'UA Optimizer'!$W48)</f>
        <v>2346.452458776272</v>
      </c>
      <c r="C53" s="524" t="b">
        <f t="shared" si="9"/>
        <v>0</v>
      </c>
      <c r="D53" s="332">
        <f>IF('1350SF'!$AD49&gt;=1,'UA Optimizer'!$AC49,'UA Optimizer'!$AC48)</f>
        <v>3058.2697637980755</v>
      </c>
      <c r="E53" s="292" t="b">
        <f t="shared" si="10"/>
        <v>0</v>
      </c>
      <c r="F53" s="331">
        <f>IF('2184SF'!$AD47&gt;=1,'UA Optimizer'!$AI49,'UA Optimizer'!$AI48)</f>
        <v>2736.967806867244</v>
      </c>
      <c r="G53" s="292" t="b">
        <f t="shared" si="11"/>
        <v>0</v>
      </c>
      <c r="AU53" s="362">
        <v>11561.08995019045</v>
      </c>
      <c r="AV53" s="115">
        <v>13289.51069440375</v>
      </c>
      <c r="AW53" s="115">
        <v>18493.261060650457</v>
      </c>
      <c r="AX53" s="115">
        <v>21602.959273366538</v>
      </c>
      <c r="AY53" s="358">
        <v>520</v>
      </c>
      <c r="AZ53" s="363">
        <f>('Cost-Effectiveness Level'!$B$3*AU53)+('Cost-Effectiveness Level'!$C$3*AV53)+('Cost-Effectiveness Level'!$D$3*AW53)+('Cost-Effectiveness Level'!$E$3*AX53)</f>
        <v>14660.436566070906</v>
      </c>
      <c r="BA53" s="109"/>
      <c r="BB53" s="109"/>
      <c r="BC53" s="362">
        <v>10672.780544975096</v>
      </c>
      <c r="BD53" s="115">
        <v>12225.725168473486</v>
      </c>
      <c r="BE53" s="115">
        <v>17283.79724582479</v>
      </c>
      <c r="BF53" s="115">
        <v>20268.766481101673</v>
      </c>
      <c r="BG53" s="358">
        <v>520</v>
      </c>
      <c r="BH53" s="363">
        <f>('Cost-Effectiveness Level'!$B$3*BC53)+('Cost-Effectiveness Level'!$C$3*BD53)+('Cost-Effectiveness Level'!$D$3*BE53)+('Cost-Effectiveness Level'!$E$3*BF53)</f>
        <v>13581.806328743043</v>
      </c>
      <c r="BI53" s="109"/>
      <c r="BJ53" s="109"/>
      <c r="BK53" s="362">
        <v>8143.158511573396</v>
      </c>
      <c r="BL53" s="115">
        <v>9368.825080574275</v>
      </c>
      <c r="BM53" s="115">
        <v>13885.965426311164</v>
      </c>
      <c r="BN53" s="115">
        <v>16512.276589510697</v>
      </c>
      <c r="BO53" s="358">
        <v>520</v>
      </c>
      <c r="BP53" s="363">
        <f>('Cost-Effectiveness Level'!$B$3*BK53)+('Cost-Effectiveness Level'!$C$3*BL53)+('Cost-Effectiveness Level'!$D$3*BM53)+('Cost-Effectiveness Level'!$E$3*BN53)</f>
        <v>10610.149428655142</v>
      </c>
    </row>
    <row r="54" spans="2:68" ht="14.25">
      <c r="B54" s="453">
        <f>IF('850SF'!$AD44&gt;=1,'UA Optimizer'!$W50,'UA Optimizer'!$W49)</f>
        <v>2558.952458776272</v>
      </c>
      <c r="C54" s="524" t="b">
        <f t="shared" si="9"/>
        <v>0</v>
      </c>
      <c r="D54" s="332">
        <f>IF('1350SF'!$AD50&gt;=1,'UA Optimizer'!$AC50,'UA Optimizer'!$AC49)</f>
        <v>3370.4639624192537</v>
      </c>
      <c r="E54" s="292" t="b">
        <f t="shared" si="10"/>
        <v>0</v>
      </c>
      <c r="F54" s="331">
        <f>IF('2184SF'!$AD48&gt;=1,'UA Optimizer'!$AI50,'UA Optimizer'!$AI49)</f>
        <v>2977.472967286522</v>
      </c>
      <c r="G54" s="292" t="b">
        <f t="shared" si="11"/>
        <v>0</v>
      </c>
      <c r="AU54" s="362">
        <v>10925.109874011136</v>
      </c>
      <c r="AV54" s="115">
        <v>12555.376501611487</v>
      </c>
      <c r="AW54" s="115">
        <v>17561.08995019045</v>
      </c>
      <c r="AX54" s="115">
        <v>20535.980076179316</v>
      </c>
      <c r="AY54" s="358">
        <v>500</v>
      </c>
      <c r="AZ54" s="363">
        <f>('Cost-Effectiveness Level'!$B$3*AU54)+('Cost-Effectiveness Level'!$C$3*AV54)+('Cost-Effectiveness Level'!$D$3*AW54)+('Cost-Effectiveness Level'!$E$3*AX54)</f>
        <v>13879.78171696455</v>
      </c>
      <c r="BA54" s="109"/>
      <c r="BB54" s="109"/>
      <c r="BC54" s="362">
        <v>10052.915323762087</v>
      </c>
      <c r="BD54" s="115">
        <v>11513.712276589513</v>
      </c>
      <c r="BE54" s="115">
        <v>16375.388221506006</v>
      </c>
      <c r="BF54" s="115">
        <v>19211.807793729855</v>
      </c>
      <c r="BG54" s="358">
        <v>500</v>
      </c>
      <c r="BH54" s="363">
        <f>('Cost-Effectiveness Level'!$B$3*BC54)+('Cost-Effectiveness Level'!$C$3*BD54)+('Cost-Effectiveness Level'!$D$3*BE54)+('Cost-Effectiveness Level'!$E$3*BF54)</f>
        <v>12821.876648110168</v>
      </c>
      <c r="BI54" s="109"/>
      <c r="BJ54" s="109"/>
      <c r="BK54" s="362">
        <v>7590.448285965427</v>
      </c>
      <c r="BL54" s="115">
        <v>8739.26164664518</v>
      </c>
      <c r="BM54" s="115">
        <v>13046.498681511866</v>
      </c>
      <c r="BN54" s="115">
        <v>15553.970114268972</v>
      </c>
      <c r="BO54" s="358">
        <v>500</v>
      </c>
      <c r="BP54" s="363">
        <f>('Cost-Effectiveness Level'!$B$3*BK54)+('Cost-Effectiveness Level'!$C$3*BL54)+('Cost-Effectiveness Level'!$D$3*BM54)+('Cost-Effectiveness Level'!$E$3*BN54)</f>
        <v>9927.04365660709</v>
      </c>
    </row>
    <row r="55" spans="2:68" ht="14.25">
      <c r="B55" s="453">
        <f>IF('850SF'!$AD45&gt;=1,'UA Optimizer'!$W51,'UA Optimizer'!$W50)</f>
        <v>4064.114749736161</v>
      </c>
      <c r="C55" s="524" t="b">
        <f t="shared" si="9"/>
        <v>1</v>
      </c>
      <c r="D55" s="332">
        <f>IF('1350SF'!$AD51&gt;=1,'UA Optimizer'!$AC51,'UA Optimizer'!$AC50)</f>
        <v>3504.2614761140444</v>
      </c>
      <c r="E55" s="292" t="b">
        <f t="shared" si="10"/>
        <v>0</v>
      </c>
      <c r="F55" s="331">
        <f>IF('2184SF'!$AD49&gt;=1,'UA Optimizer'!$AI51,'UA Optimizer'!$AI50)</f>
        <v>3159.472967286522</v>
      </c>
      <c r="G55" s="292" t="b">
        <f t="shared" si="11"/>
        <v>0</v>
      </c>
      <c r="AU55" s="362">
        <v>10291.97187225315</v>
      </c>
      <c r="AV55" s="115">
        <v>11823.058892469968</v>
      </c>
      <c r="AW55" s="115">
        <v>16632.58130676824</v>
      </c>
      <c r="AX55" s="115">
        <v>19468.85438031058</v>
      </c>
      <c r="AY55" s="358">
        <v>480</v>
      </c>
      <c r="AZ55" s="363">
        <f>('Cost-Effectiveness Level'!$B$3*AU55)+('Cost-Effectiveness Level'!$C$3*AV55)+('Cost-Effectiveness Level'!$D$3*AW55)+('Cost-Effectiveness Level'!$E$3*AX55)</f>
        <v>13101.511866393203</v>
      </c>
      <c r="BA55" s="109"/>
      <c r="BB55" s="109"/>
      <c r="BC55" s="362">
        <v>9435.745678288897</v>
      </c>
      <c r="BD55" s="115">
        <v>10805.156753589219</v>
      </c>
      <c r="BE55" s="115">
        <v>15472.546147084679</v>
      </c>
      <c r="BF55" s="115">
        <v>18161.412247289776</v>
      </c>
      <c r="BG55" s="358">
        <v>480</v>
      </c>
      <c r="BH55" s="363">
        <f>('Cost-Effectiveness Level'!$B$3*BC55)+('Cost-Effectiveness Level'!$C$3*BD55)+('Cost-Effectiveness Level'!$D$3*BE55)+('Cost-Effectiveness Level'!$E$3*BF55)</f>
        <v>12065.934661588048</v>
      </c>
      <c r="BI55" s="109"/>
      <c r="BJ55" s="109"/>
      <c r="BK55" s="362">
        <v>7045.941986522122</v>
      </c>
      <c r="BL55" s="115">
        <v>8114.825666569001</v>
      </c>
      <c r="BM55" s="115">
        <v>12207.412833284501</v>
      </c>
      <c r="BN55" s="115">
        <v>14599.355405801349</v>
      </c>
      <c r="BO55" s="358">
        <v>480</v>
      </c>
      <c r="BP55" s="363">
        <f>('Cost-Effectiveness Level'!$B$3*BK55)+('Cost-Effectiveness Level'!$C$3*BL55)+('Cost-Effectiveness Level'!$D$3*BM55)+('Cost-Effectiveness Level'!$E$3*BN55)</f>
        <v>9248.422209200118</v>
      </c>
    </row>
    <row r="56" spans="2:68" ht="14.25">
      <c r="B56" s="453">
        <f>IF('850SF'!$AD46&gt;=1,'UA Optimizer'!$W52,'UA Optimizer'!$W51)</f>
        <v>4064.114749736161</v>
      </c>
      <c r="C56" s="524" t="b">
        <f t="shared" si="9"/>
        <v>0</v>
      </c>
      <c r="D56" s="332">
        <f>IF('1350SF'!$AD52&gt;=1,'UA Optimizer'!$AC52,'UA Optimizer'!$AC51)</f>
        <v>3841.7614761140444</v>
      </c>
      <c r="E56" s="292" t="b">
        <f t="shared" si="10"/>
        <v>0</v>
      </c>
      <c r="F56" s="331">
        <f>IF('2184SF'!$AD50&gt;=1,'UA Optimizer'!$AI52,'UA Optimizer'!$AI51)</f>
        <v>8203.367878481893</v>
      </c>
      <c r="G56" s="292" t="b">
        <f t="shared" si="11"/>
        <v>0</v>
      </c>
      <c r="AU56" s="362">
        <v>9663.08233225901</v>
      </c>
      <c r="AV56" s="115">
        <v>11094.696747729271</v>
      </c>
      <c r="AW56" s="115">
        <v>15707.793729856432</v>
      </c>
      <c r="AX56" s="115">
        <v>18402.69557573982</v>
      </c>
      <c r="AY56" s="358">
        <v>460</v>
      </c>
      <c r="AZ56" s="363">
        <f>('Cost-Effectiveness Level'!$B$3*AU56)+('Cost-Effectiveness Level'!$C$3*AV56)+('Cost-Effectiveness Level'!$D$3*AW56)+('Cost-Effectiveness Level'!$E$3*AX56)</f>
        <v>12327.048051567535</v>
      </c>
      <c r="BA56" s="109"/>
      <c r="BB56" s="109"/>
      <c r="BC56" s="362">
        <v>8823.996484031644</v>
      </c>
      <c r="BD56" s="115">
        <v>10102.021681804863</v>
      </c>
      <c r="BE56" s="115">
        <v>14572.458247875771</v>
      </c>
      <c r="BF56" s="115">
        <v>17114.210372106652</v>
      </c>
      <c r="BG56" s="358">
        <v>460</v>
      </c>
      <c r="BH56" s="363">
        <f>('Cost-Effectiveness Level'!$B$3*BC56)+('Cost-Effectiveness Level'!$C$3*BD56)+('Cost-Effectiveness Level'!$D$3*BE56)+('Cost-Effectiveness Level'!$E$3*BF56)</f>
        <v>11314.635218283036</v>
      </c>
      <c r="BI56" s="109"/>
      <c r="BJ56" s="109"/>
      <c r="BK56" s="362">
        <v>6506.797538822151</v>
      </c>
      <c r="BL56" s="115">
        <v>7501.201289188397</v>
      </c>
      <c r="BM56" s="115">
        <v>11372.546147084677</v>
      </c>
      <c r="BN56" s="115">
        <v>13655.464400820392</v>
      </c>
      <c r="BO56" s="358">
        <v>460</v>
      </c>
      <c r="BP56" s="363">
        <f>('Cost-Effectiveness Level'!$B$3*BK56)+('Cost-Effectiveness Level'!$C$3*BL56)+('Cost-Effectiveness Level'!$D$3*BM56)+('Cost-Effectiveness Level'!$E$3*BN56)</f>
        <v>8577.869909170817</v>
      </c>
    </row>
    <row r="57" spans="2:68" ht="14.25">
      <c r="B57" s="453">
        <f>IF('850SF'!$AD47&gt;=1,'UA Optimizer'!$W53,'UA Optimizer'!$W52)</f>
        <v>4174.614749736161</v>
      </c>
      <c r="C57" s="524" t="b">
        <f t="shared" si="9"/>
        <v>0</v>
      </c>
      <c r="D57" s="332">
        <f>IF('1350SF'!$AD53&gt;=1,'UA Optimizer'!$AC53,'UA Optimizer'!$AC52)</f>
        <v>6227.603830933442</v>
      </c>
      <c r="E57" s="292" t="b">
        <f t="shared" si="10"/>
        <v>1</v>
      </c>
      <c r="F57" s="331">
        <f>IF('2184SF'!$AD51&gt;=1,'UA Optimizer'!$AI53,'UA Optimizer'!$AI52)</f>
        <v>8609.447878481893</v>
      </c>
      <c r="G57" s="292" t="b">
        <f t="shared" si="11"/>
        <v>1</v>
      </c>
      <c r="AU57" s="362">
        <v>7799.12100791093</v>
      </c>
      <c r="AV57" s="115">
        <v>8942.71901552886</v>
      </c>
      <c r="AW57" s="115">
        <v>12957.222384998535</v>
      </c>
      <c r="AX57" s="115">
        <v>15219.425725168474</v>
      </c>
      <c r="AY57" s="358">
        <v>400</v>
      </c>
      <c r="AZ57" s="363">
        <f>('Cost-Effectiveness Level'!$B$3*AU57)+('Cost-Effectiveness Level'!$C$3*AV57)+('Cost-Effectiveness Level'!$D$3*AW57)+('Cost-Effectiveness Level'!$E$3*AX57)</f>
        <v>10031.460591854673</v>
      </c>
      <c r="BA57" s="109"/>
      <c r="BB57" s="109"/>
      <c r="BC57" s="362">
        <v>7023.703486668621</v>
      </c>
      <c r="BD57" s="115">
        <v>8037.210665104015</v>
      </c>
      <c r="BE57" s="115">
        <v>11894.726047465572</v>
      </c>
      <c r="BF57" s="115">
        <v>14003.92616466452</v>
      </c>
      <c r="BG57" s="358">
        <v>400</v>
      </c>
      <c r="BH57" s="363">
        <f>('Cost-Effectiveness Level'!$B$3*BC57)+('Cost-Effectiveness Level'!$C$3*BD57)+('Cost-Effectiveness Level'!$D$3*BE57)+('Cost-Effectiveness Level'!$E$3*BF57)</f>
        <v>9097.22384998535</v>
      </c>
      <c r="BI57" s="109"/>
      <c r="BJ57" s="109"/>
      <c r="BK57" s="362">
        <v>4917.2868444184005</v>
      </c>
      <c r="BL57" s="115">
        <v>5716.759449164958</v>
      </c>
      <c r="BM57" s="115">
        <v>8927.981248168768</v>
      </c>
      <c r="BN57" s="115">
        <v>10853.0911221799</v>
      </c>
      <c r="BO57" s="358">
        <v>400</v>
      </c>
      <c r="BP57" s="363">
        <f>('Cost-Effectiveness Level'!$B$3*BK57)+('Cost-Effectiveness Level'!$C$3*BL57)+('Cost-Effectiveness Level'!$D$3*BM57)+('Cost-Effectiveness Level'!$E$3*BN57)</f>
        <v>6616.4869616173455</v>
      </c>
    </row>
    <row r="58" spans="2:68" ht="14.25">
      <c r="B58" s="453">
        <f>IF('850SF'!$AD48&gt;=1,'UA Optimizer'!$W54,'UA Optimizer'!$W53)</f>
        <v>4599.614749736161</v>
      </c>
      <c r="C58" s="524" t="b">
        <f t="shared" si="9"/>
        <v>0</v>
      </c>
      <c r="D58" s="332">
        <f>IF('1350SF'!$AD54&gt;=1,'UA Optimizer'!$AC54,'UA Optimizer'!$AC53)</f>
        <v>6227.603830933442</v>
      </c>
      <c r="E58" s="292" t="b">
        <f t="shared" si="10"/>
        <v>0</v>
      </c>
      <c r="F58" s="331">
        <f>IF('2184SF'!$AD52&gt;=1,'UA Optimizer'!$AI54,'UA Optimizer'!$AI53)</f>
        <v>8609.447878481893</v>
      </c>
      <c r="G58" s="292" t="b">
        <f t="shared" si="11"/>
        <v>0</v>
      </c>
      <c r="AU58" s="362">
        <v>7186.229123937885</v>
      </c>
      <c r="AV58" s="115">
        <v>8234.573688836801</v>
      </c>
      <c r="AW58" s="115">
        <v>12048.696161734544</v>
      </c>
      <c r="AX58" s="115">
        <v>14164.371520656316</v>
      </c>
      <c r="AY58" s="358">
        <v>380</v>
      </c>
      <c r="AZ58" s="363">
        <f>('Cost-Effectiveness Level'!$B$3*AU58)+('Cost-Effectiveness Level'!$C$3*AV58)+('Cost-Effectiveness Level'!$D$3*AW58)+('Cost-Effectiveness Level'!$E$3*AX58)</f>
        <v>9274.925285672429</v>
      </c>
      <c r="BA58" s="109"/>
      <c r="BB58" s="109"/>
      <c r="BC58" s="362">
        <v>6434.4857896278945</v>
      </c>
      <c r="BD58" s="115">
        <v>7366.070905361853</v>
      </c>
      <c r="BE58" s="115">
        <v>11013.155581599767</v>
      </c>
      <c r="BF58" s="115">
        <v>12981.570465865807</v>
      </c>
      <c r="BG58" s="358">
        <v>380</v>
      </c>
      <c r="BH58" s="363">
        <f>('Cost-Effectiveness Level'!$B$3*BC58)+('Cost-Effectiveness Level'!$C$3*BD58)+('Cost-Effectiveness Level'!$D$3*BE58)+('Cost-Effectiveness Level'!$E$3*BF58)</f>
        <v>8372.300029299739</v>
      </c>
      <c r="BI58" s="109"/>
      <c r="BJ58" s="109"/>
      <c r="BK58" s="362">
        <v>4396.278933489599</v>
      </c>
      <c r="BL58" s="115">
        <v>5145.238792850865</v>
      </c>
      <c r="BM58" s="115">
        <v>8132.815704658658</v>
      </c>
      <c r="BN58" s="115">
        <v>9932.639906240844</v>
      </c>
      <c r="BO58" s="358">
        <v>380</v>
      </c>
      <c r="BP58" s="363">
        <f>('Cost-Effectiveness Level'!$B$3*BK58)+('Cost-Effectiveness Level'!$C$3*BL58)+('Cost-Effectiveness Level'!$D$3*BM58)+('Cost-Effectiveness Level'!$E$3*BN58)</f>
        <v>5981.711104600059</v>
      </c>
    </row>
    <row r="59" spans="2:68" ht="14.25">
      <c r="B59" s="453">
        <f>IF('850SF'!$AD49&gt;=1,'UA Optimizer'!$W55,'UA Optimizer'!$W54)</f>
        <v>4754.287888846751</v>
      </c>
      <c r="C59" s="524" t="b">
        <f t="shared" si="9"/>
        <v>0</v>
      </c>
      <c r="D59" s="332">
        <f>IF('1350SF'!$AD55&gt;=1,'UA Optimizer'!$AC55,'UA Optimizer'!$AC54)</f>
        <v>6403.103830933442</v>
      </c>
      <c r="E59" s="292" t="b">
        <f t="shared" si="10"/>
        <v>0</v>
      </c>
      <c r="F59" s="331">
        <f>IF('2184SF'!$AD53&gt;=1,'UA Optimizer'!$AI55,'UA Optimizer'!$AI54)</f>
        <v>8704.087878481892</v>
      </c>
      <c r="G59" s="292" t="b">
        <f t="shared" si="11"/>
        <v>0</v>
      </c>
      <c r="AU59" s="362">
        <v>6576.560210958101</v>
      </c>
      <c r="AV59" s="115">
        <v>7532.053911514798</v>
      </c>
      <c r="AW59" s="115">
        <v>11146.02988573103</v>
      </c>
      <c r="AX59" s="115">
        <v>13114.532669205979</v>
      </c>
      <c r="AY59" s="358">
        <v>360</v>
      </c>
      <c r="AZ59" s="363">
        <f>('Cost-Effectiveness Level'!$B$3*AU59)+('Cost-Effectiveness Level'!$C$3*AV59)+('Cost-Effectiveness Level'!$D$3*AW59)+('Cost-Effectiveness Level'!$E$3*AX59)</f>
        <v>8523.573102842076</v>
      </c>
      <c r="BA59" s="109"/>
      <c r="BB59" s="109"/>
      <c r="BC59" s="362">
        <v>5854.175212423088</v>
      </c>
      <c r="BD59" s="115">
        <v>6702.138880750074</v>
      </c>
      <c r="BE59" s="115">
        <v>10134.866686199826</v>
      </c>
      <c r="BF59" s="115">
        <v>11967.447992968064</v>
      </c>
      <c r="BG59" s="358">
        <v>360</v>
      </c>
      <c r="BH59" s="363">
        <f>('Cost-Effectiveness Level'!$B$3*BC59)+('Cost-Effectiveness Level'!$C$3*BD59)+('Cost-Effectiveness Level'!$D$3*BE59)+('Cost-Effectiveness Level'!$E$3*BF59)</f>
        <v>7653.9935540580145</v>
      </c>
      <c r="BI59" s="109"/>
      <c r="BJ59" s="109"/>
      <c r="BK59" s="362">
        <v>3883.357749780252</v>
      </c>
      <c r="BL59" s="115">
        <v>4585.877527102257</v>
      </c>
      <c r="BM59" s="115">
        <v>7349.428655142104</v>
      </c>
      <c r="BN59" s="115">
        <v>9024.787576911807</v>
      </c>
      <c r="BO59" s="358">
        <v>360</v>
      </c>
      <c r="BP59" s="363">
        <f>('Cost-Effectiveness Level'!$B$3*BK59)+('Cost-Effectiveness Level'!$C$3*BL59)+('Cost-Effectiveness Level'!$D$3*BM59)+('Cost-Effectiveness Level'!$E$3*BN59)</f>
        <v>5358.206856138295</v>
      </c>
    </row>
    <row r="60" spans="2:68" ht="14.25">
      <c r="B60" s="453">
        <f>IF('850SF'!$AD50&gt;=1,'UA Optimizer'!$W56,'UA Optimizer'!$W55)</f>
        <v>5205.487888846751</v>
      </c>
      <c r="C60" s="524" t="b">
        <f t="shared" si="9"/>
        <v>0</v>
      </c>
      <c r="D60" s="332">
        <f>IF('1350SF'!$AD56&gt;=1,'UA Optimizer'!$AC56,'UA Optimizer'!$AC55)</f>
        <v>6575.063967944628</v>
      </c>
      <c r="E60" s="292" t="b">
        <f t="shared" si="10"/>
        <v>0</v>
      </c>
      <c r="F60" s="331">
        <f>IF('2184SF'!$AD54&gt;=1,'UA Optimizer'!$AI56,'UA Optimizer'!$AI55)</f>
        <v>8836.56087292014</v>
      </c>
      <c r="G60" s="292" t="b">
        <f t="shared" si="11"/>
        <v>0</v>
      </c>
      <c r="AU60" s="362">
        <v>5973.45443891005</v>
      </c>
      <c r="AV60" s="115">
        <v>6839.290946381483</v>
      </c>
      <c r="AW60" s="115">
        <v>10249.164957515384</v>
      </c>
      <c r="AX60" s="115">
        <v>12070.143568707883</v>
      </c>
      <c r="AY60" s="358">
        <v>340</v>
      </c>
      <c r="AZ60" s="363">
        <f>('Cost-Effectiveness Level'!$B$3*AU60)+('Cost-Effectiveness Level'!$C$3*AV60)+('Cost-Effectiveness Level'!$D$3*AW60)+('Cost-Effectiveness Level'!$E$3*AX60)</f>
        <v>7780.134778786992</v>
      </c>
      <c r="BA60" s="109"/>
      <c r="BB60" s="109"/>
      <c r="BC60" s="362">
        <v>5280.515675358923</v>
      </c>
      <c r="BD60" s="115">
        <v>6045.971286258425</v>
      </c>
      <c r="BE60" s="115">
        <v>9260.181658365074</v>
      </c>
      <c r="BF60" s="115">
        <v>10960.445355991797</v>
      </c>
      <c r="BG60" s="358">
        <v>340</v>
      </c>
      <c r="BH60" s="363">
        <f>('Cost-Effectiveness Level'!$B$3*BC60)+('Cost-Effectiveness Level'!$C$3*BD60)+('Cost-Effectiveness Level'!$D$3*BE60)+('Cost-Effectiveness Level'!$E$3*BF60)</f>
        <v>6942.156460591856</v>
      </c>
      <c r="BI60" s="109"/>
      <c r="BJ60" s="109"/>
      <c r="BK60" s="362">
        <v>3400.146498681512</v>
      </c>
      <c r="BL60" s="115">
        <v>4033.343099912101</v>
      </c>
      <c r="BM60" s="115">
        <v>6590.711983592148</v>
      </c>
      <c r="BN60" s="115">
        <v>8130.061529446236</v>
      </c>
      <c r="BO60" s="358">
        <v>340</v>
      </c>
      <c r="BP60" s="363">
        <f>('Cost-Effectiveness Level'!$B$3*BK60)+('Cost-Effectiveness Level'!$C$3*BL60)+('Cost-Effectiveness Level'!$D$3*BM60)+('Cost-Effectiveness Level'!$E$3*BN60)</f>
        <v>4750.881922062702</v>
      </c>
    </row>
    <row r="61" spans="2:68" ht="14.25">
      <c r="B61" s="453">
        <f>IF('850SF'!$AD51&gt;=1,'UA Optimizer'!$W57,'UA Optimizer'!$W56)</f>
        <v>5805.956638846751</v>
      </c>
      <c r="C61" s="524" t="b">
        <f t="shared" si="9"/>
        <v>0</v>
      </c>
      <c r="D61" s="332">
        <f>IF('1350SF'!$AD57&gt;=1,'UA Optimizer'!$AC57,'UA Optimizer'!$AC56)</f>
        <v>7290.263967944627</v>
      </c>
      <c r="E61" s="292" t="b">
        <f t="shared" si="10"/>
        <v>0</v>
      </c>
      <c r="F61" s="331">
        <f>IF('2184SF'!$AD55&gt;=1,'UA Optimizer'!$AI57,'UA Optimizer'!$AI56)</f>
        <v>10348.56087292014</v>
      </c>
      <c r="G61" s="292" t="b">
        <f t="shared" si="11"/>
        <v>0</v>
      </c>
      <c r="AU61" s="362">
        <v>5381.3067682390865</v>
      </c>
      <c r="AV61" s="115">
        <v>6159.097568121887</v>
      </c>
      <c r="AW61" s="115">
        <v>9360.4746557281</v>
      </c>
      <c r="AX61" s="115">
        <v>11035.013184881336</v>
      </c>
      <c r="AY61" s="358">
        <v>320</v>
      </c>
      <c r="AZ61" s="363">
        <f>('Cost-Effectiveness Level'!$B$3*AU61)+('Cost-Effectiveness Level'!$C$3*AV61)+('Cost-Effectiveness Level'!$D$3*AW61)+('Cost-Effectiveness Level'!$E$3*AX61)</f>
        <v>7047.679460884852</v>
      </c>
      <c r="BA61" s="109"/>
      <c r="BB61" s="109"/>
      <c r="BC61" s="362">
        <v>4711.397597421624</v>
      </c>
      <c r="BD61" s="115">
        <v>5400.292997363024</v>
      </c>
      <c r="BE61" s="115">
        <v>8396.601230588925</v>
      </c>
      <c r="BF61" s="115">
        <v>9963.72692645766</v>
      </c>
      <c r="BG61" s="358">
        <v>320</v>
      </c>
      <c r="BH61" s="363">
        <f>('Cost-Effectiveness Level'!$B$3*BC61)+('Cost-Effectiveness Level'!$C$3*BD61)+('Cost-Effectiveness Level'!$D$3*BE61)+('Cost-Effectiveness Level'!$E$3*BF61)</f>
        <v>6239.762672135951</v>
      </c>
      <c r="BI61" s="109"/>
      <c r="BJ61" s="109"/>
      <c r="BK61" s="362">
        <v>2942.22092001172</v>
      </c>
      <c r="BL61" s="115">
        <v>3492.46996777029</v>
      </c>
      <c r="BM61" s="115">
        <v>5846.498681511866</v>
      </c>
      <c r="BN61" s="115">
        <v>7246.9088778201</v>
      </c>
      <c r="BO61" s="358">
        <v>320</v>
      </c>
      <c r="BP61" s="363">
        <f>('Cost-Effectiveness Level'!$B$3*BK61)+('Cost-Effectiveness Level'!$C$3*BL61)+('Cost-Effectiveness Level'!$D$3*BM61)+('Cost-Effectiveness Level'!$E$3*BN61)</f>
        <v>4158.649282156461</v>
      </c>
    </row>
    <row r="62" spans="2:68" ht="14.25">
      <c r="B62" s="453"/>
      <c r="C62" s="524"/>
      <c r="D62" s="332">
        <f>IF('1350SF'!$AD58&gt;=1,'UA Optimizer'!$AC58,'UA Optimizer'!$AC57)</f>
        <v>7890.732717944627</v>
      </c>
      <c r="E62" s="292" t="b">
        <f t="shared" si="10"/>
        <v>0</v>
      </c>
      <c r="F62" s="331">
        <f>IF('2184SF'!$AD56&gt;=1,'UA Optimizer'!$AI58,'UA Optimizer'!$AI57)</f>
        <v>10949.02962292014</v>
      </c>
      <c r="G62" s="292" t="b">
        <f t="shared" si="11"/>
        <v>0</v>
      </c>
      <c r="AU62" s="362">
        <v>4794.022853794316</v>
      </c>
      <c r="AV62" s="115">
        <v>5489.01259888661</v>
      </c>
      <c r="AW62" s="115">
        <v>8476.648110167009</v>
      </c>
      <c r="AX62" s="115">
        <v>10006.445941986523</v>
      </c>
      <c r="AY62" s="358">
        <v>300</v>
      </c>
      <c r="AZ62" s="363">
        <f>('Cost-Effectiveness Level'!$B$3*AU62)+('Cost-Effectiveness Level'!$C$3*AV62)+('Cost-Effectiveness Level'!$D$3*AW62)+('Cost-Effectiveness Level'!$E$3*AX62)</f>
        <v>6322.795194843247</v>
      </c>
      <c r="BA62" s="109"/>
      <c r="BB62" s="109"/>
      <c r="BC62" s="362">
        <v>4150.190448285965</v>
      </c>
      <c r="BD62" s="115">
        <v>4768.942279519484</v>
      </c>
      <c r="BE62" s="115">
        <v>7547.113975974216</v>
      </c>
      <c r="BF62" s="115">
        <v>8980.339876941109</v>
      </c>
      <c r="BG62" s="358">
        <v>300</v>
      </c>
      <c r="BH62" s="363">
        <f>('Cost-Effectiveness Level'!$B$3*BC62)+('Cost-Effectiveness Level'!$C$3*BD62)+('Cost-Effectiveness Level'!$D$3*BE62)+('Cost-Effectiveness Level'!$E$3*BF62)</f>
        <v>5550.304717257544</v>
      </c>
      <c r="BI62" s="109"/>
      <c r="BJ62" s="109"/>
      <c r="BK62" s="362">
        <v>2507.061236448872</v>
      </c>
      <c r="BL62" s="115">
        <v>2975.4175212423092</v>
      </c>
      <c r="BM62" s="115">
        <v>5139.847641371228</v>
      </c>
      <c r="BN62" s="115">
        <v>6378.933489598594</v>
      </c>
      <c r="BO62" s="358">
        <v>300</v>
      </c>
      <c r="BP62" s="363">
        <f>('Cost-Effectiveness Level'!$B$3*BK62)+('Cost-Effectiveness Level'!$C$3*BL62)+('Cost-Effectiveness Level'!$D$3*BM62)+('Cost-Effectiveness Level'!$E$3*BN62)</f>
        <v>3593.029592733666</v>
      </c>
    </row>
    <row r="63" spans="2:68" ht="14.25">
      <c r="B63" s="453"/>
      <c r="C63" s="524"/>
      <c r="D63" s="332">
        <f>IF('1350SF'!$AD59&gt;=1,'UA Optimizer'!$AC59,'UA Optimizer'!$AC58)</f>
        <v>8565.732717944627</v>
      </c>
      <c r="E63" s="292" t="b">
        <f t="shared" si="10"/>
        <v>0</v>
      </c>
      <c r="F63" s="331">
        <f>IF('2184SF'!$AD57&gt;=1,'UA Optimizer'!$AI59,'UA Optimizer'!$AI58)</f>
        <v>12041.02962292014</v>
      </c>
      <c r="G63" s="292" t="b">
        <f t="shared" si="11"/>
        <v>0</v>
      </c>
      <c r="AU63" s="362">
        <v>4216.818048637562</v>
      </c>
      <c r="AV63" s="115">
        <v>4830.676823908585</v>
      </c>
      <c r="AW63" s="115">
        <v>7601.611485496631</v>
      </c>
      <c r="AX63" s="115">
        <v>8990.887782009962</v>
      </c>
      <c r="AY63" s="358">
        <v>280</v>
      </c>
      <c r="AZ63" s="363">
        <f>('Cost-Effectiveness Level'!$B$3*AU63)+('Cost-Effectiveness Level'!$C$3*AV63)+('Cost-Effectiveness Level'!$D$3*AW63)+('Cost-Effectiveness Level'!$E$3*AX63)</f>
        <v>5608.649282156461</v>
      </c>
      <c r="BA63" s="109"/>
      <c r="BB63" s="109"/>
      <c r="BC63" s="362">
        <v>3600.3808965719313</v>
      </c>
      <c r="BD63" s="115">
        <v>4155.815997656021</v>
      </c>
      <c r="BE63" s="115">
        <v>6710.401406387343</v>
      </c>
      <c r="BF63" s="115">
        <v>8012.364488719602</v>
      </c>
      <c r="BG63" s="358">
        <v>280</v>
      </c>
      <c r="BH63" s="363">
        <f>('Cost-Effectiveness Level'!$B$3*BC63)+('Cost-Effectiveness Level'!$C$3*BD63)+('Cost-Effectiveness Level'!$D$3*BE63)+('Cost-Effectiveness Level'!$E$3*BF63)</f>
        <v>4876.202754175212</v>
      </c>
      <c r="BI63" s="109"/>
      <c r="BJ63" s="109"/>
      <c r="BK63" s="362">
        <v>2102.256079695283</v>
      </c>
      <c r="BL63" s="115">
        <v>2483.9730442426016</v>
      </c>
      <c r="BM63" s="115">
        <v>4464.283621447407</v>
      </c>
      <c r="BN63" s="115">
        <v>5520.304717257544</v>
      </c>
      <c r="BO63" s="358">
        <v>280</v>
      </c>
      <c r="BP63" s="363">
        <f>('Cost-Effectiveness Level'!$B$3*BK63)+('Cost-Effectiveness Level'!$C$3*BL63)+('Cost-Effectiveness Level'!$D$3*BM63)+('Cost-Effectiveness Level'!$E$3*BN63)</f>
        <v>3054.5238792850864</v>
      </c>
    </row>
    <row r="64" spans="2:68" ht="14.25">
      <c r="B64" s="453"/>
      <c r="C64" s="524"/>
      <c r="D64" s="332">
        <f>IF('1350SF'!$AD60&gt;=1,'UA Optimizer'!$AC60,'UA Optimizer'!$AC59)</f>
        <v>8639.42991952085</v>
      </c>
      <c r="E64" s="292" t="b">
        <f t="shared" si="10"/>
        <v>0</v>
      </c>
      <c r="F64" s="331"/>
      <c r="G64" s="292"/>
      <c r="AU64" s="362">
        <v>3650.512745385292</v>
      </c>
      <c r="AV64" s="115">
        <v>4187.694110753004</v>
      </c>
      <c r="AW64" s="115">
        <v>6733.07940228538</v>
      </c>
      <c r="AX64" s="115">
        <v>7985.496630530326</v>
      </c>
      <c r="AY64" s="358">
        <v>260</v>
      </c>
      <c r="AZ64" s="363">
        <f>('Cost-Effectiveness Level'!$B$3*AU64)+('Cost-Effectiveness Level'!$C$3*AV64)+('Cost-Effectiveness Level'!$D$3*AW64)+('Cost-Effectiveness Level'!$E$3*AX64)</f>
        <v>4906.494286551421</v>
      </c>
      <c r="BA64" s="109"/>
      <c r="BB64" s="109"/>
      <c r="BC64" s="362">
        <v>3070.49516554351</v>
      </c>
      <c r="BD64" s="115">
        <v>3555.3179021388805</v>
      </c>
      <c r="BE64" s="115">
        <v>5884.646938177557</v>
      </c>
      <c r="BF64" s="115">
        <v>7061.119249926751</v>
      </c>
      <c r="BG64" s="358">
        <v>260</v>
      </c>
      <c r="BH64" s="363">
        <f>('Cost-Effectiveness Level'!$B$3*BC64)+('Cost-Effectiveness Level'!$C$3*BD64)+('Cost-Effectiveness Level'!$D$3*BE64)+('Cost-Effectiveness Level'!$E$3*BF64)</f>
        <v>4215.97568121887</v>
      </c>
      <c r="BI64" s="109"/>
      <c r="BJ64" s="109"/>
      <c r="BK64" s="362">
        <v>1722.7658951069443</v>
      </c>
      <c r="BL64" s="115">
        <v>2021.740404336361</v>
      </c>
      <c r="BM64" s="115">
        <v>3807.03193671257</v>
      </c>
      <c r="BN64" s="115">
        <v>4680.603574567829</v>
      </c>
      <c r="BO64" s="358">
        <v>260</v>
      </c>
      <c r="BP64" s="363">
        <f>('Cost-Effectiveness Level'!$B$3*BK64)+('Cost-Effectiveness Level'!$C$3*BL64)+('Cost-Effectiveness Level'!$D$3*BM64)+('Cost-Effectiveness Level'!$E$3*BN64)</f>
        <v>2541.2115440961034</v>
      </c>
    </row>
    <row r="65" spans="47:68" ht="14.25">
      <c r="AU65" s="362">
        <v>3092.7043656607093</v>
      </c>
      <c r="AV65" s="115">
        <v>3559.654263111632</v>
      </c>
      <c r="AW65" s="115">
        <v>5876.7946088485205</v>
      </c>
      <c r="AX65" s="115">
        <v>6996.571930852622</v>
      </c>
      <c r="AY65" s="358">
        <v>240</v>
      </c>
      <c r="AZ65" s="363">
        <f>('Cost-Effectiveness Level'!$B$3*AU65)+('Cost-Effectiveness Level'!$C$3*AV65)+('Cost-Effectiveness Level'!$D$3*AW65)+('Cost-Effectiveness Level'!$E$3*AX65)</f>
        <v>4217.395253442719</v>
      </c>
      <c r="BA65" s="109"/>
      <c r="BB65" s="109"/>
      <c r="BC65" s="362">
        <v>2557.5153823615587</v>
      </c>
      <c r="BD65" s="115">
        <v>2970.143568707882</v>
      </c>
      <c r="BE65" s="115">
        <v>5068.532083211252</v>
      </c>
      <c r="BF65" s="115">
        <v>6130.3838265455615</v>
      </c>
      <c r="BG65" s="358">
        <v>240</v>
      </c>
      <c r="BH65" s="363">
        <f>('Cost-Effectiveness Level'!$B$3*BC65)+('Cost-Effectiveness Level'!$C$3*BD65)+('Cost-Effectiveness Level'!$D$3*BE65)+('Cost-Effectiveness Level'!$E$3*BF65)</f>
        <v>3570.227072956344</v>
      </c>
      <c r="BI65" s="109"/>
      <c r="BJ65" s="109"/>
      <c r="BK65" s="362">
        <v>1362.613536478172</v>
      </c>
      <c r="BL65" s="115">
        <v>1584.148842660416</v>
      </c>
      <c r="BM65" s="115">
        <v>3182.7424553179026</v>
      </c>
      <c r="BN65" s="115">
        <v>3894.140052739526</v>
      </c>
      <c r="BO65" s="358">
        <v>240</v>
      </c>
      <c r="BP65" s="363">
        <f>('Cost-Effectiveness Level'!$B$3*BK65)+('Cost-Effectiveness Level'!$C$3*BL65)+('Cost-Effectiveness Level'!$D$3*BM65)+('Cost-Effectiveness Level'!$E$3*BN65)</f>
        <v>2054.9897450922945</v>
      </c>
    </row>
    <row r="66" spans="47:68" ht="14.25">
      <c r="AU66" s="362">
        <v>2548.608262525637</v>
      </c>
      <c r="AV66" s="115">
        <v>2946.645180193378</v>
      </c>
      <c r="AW66" s="115">
        <v>5038.76355112804</v>
      </c>
      <c r="AX66" s="115">
        <v>6026.223263990624</v>
      </c>
      <c r="AY66" s="358">
        <v>220</v>
      </c>
      <c r="AZ66" s="363">
        <f>('Cost-Effectiveness Level'!$B$3*AU66)+('Cost-Effectiveness Level'!$C$3*AV66)+('Cost-Effectiveness Level'!$D$3*AW66)+('Cost-Effectiveness Level'!$E$3*AX66)</f>
        <v>3544.0462935833575</v>
      </c>
      <c r="BA66" s="109"/>
      <c r="BB66" s="109"/>
      <c r="BC66" s="362">
        <v>2056.519191327278</v>
      </c>
      <c r="BD66" s="115">
        <v>2398.8280105479053</v>
      </c>
      <c r="BE66" s="115">
        <v>4273.220041019631</v>
      </c>
      <c r="BF66" s="115">
        <v>5216.437152065632</v>
      </c>
      <c r="BG66" s="358">
        <v>220</v>
      </c>
      <c r="BH66" s="363">
        <f>('Cost-Effectiveness Level'!$B$3*BC66)+('Cost-Effectiveness Level'!$C$3*BD66)+('Cost-Effectiveness Level'!$D$3*BE66)+('Cost-Effectiveness Level'!$E$3*BF66)</f>
        <v>2939.844711397597</v>
      </c>
      <c r="BI66" s="109"/>
      <c r="BJ66" s="109"/>
      <c r="BK66" s="362">
        <v>1029.0653384119544</v>
      </c>
      <c r="BL66" s="115">
        <v>1189.950190448286</v>
      </c>
      <c r="BM66" s="115">
        <v>2587.7820099619107</v>
      </c>
      <c r="BN66" s="115">
        <v>3173.8353354819806</v>
      </c>
      <c r="BO66" s="358">
        <v>220</v>
      </c>
      <c r="BP66" s="363">
        <f>('Cost-Effectiveness Level'!$B$3*BK66)+('Cost-Effectiveness Level'!$C$3*BL66)+('Cost-Effectiveness Level'!$D$3*BM66)+('Cost-Effectiveness Level'!$E$3*BN66)</f>
        <v>1606.4254321711105</v>
      </c>
    </row>
    <row r="67" spans="47:68" ht="14.25">
      <c r="AU67" s="362">
        <v>2026.4283621447407</v>
      </c>
      <c r="AV67" s="115">
        <v>2358.4236741869327</v>
      </c>
      <c r="AW67" s="115">
        <v>4217.345443891005</v>
      </c>
      <c r="AX67" s="115">
        <v>5075.798417814241</v>
      </c>
      <c r="AY67" s="358">
        <v>200</v>
      </c>
      <c r="AZ67" s="363">
        <f>('Cost-Effectiveness Level'!$B$3*AU67)+('Cost-Effectiveness Level'!$C$3*AV67)+('Cost-Effectiveness Level'!$D$3*AW67)+('Cost-Effectiveness Level'!$E$3*AX67)</f>
        <v>2892.6237913858777</v>
      </c>
      <c r="BA67" s="109"/>
      <c r="BB67" s="109"/>
      <c r="BC67" s="362">
        <v>1577.292704365661</v>
      </c>
      <c r="BD67" s="115">
        <v>1861.441547026077</v>
      </c>
      <c r="BE67" s="115">
        <v>3504.541459126868</v>
      </c>
      <c r="BF67" s="115">
        <v>4321.97480222678</v>
      </c>
      <c r="BG67" s="358">
        <v>200</v>
      </c>
      <c r="BH67" s="363">
        <f>('Cost-Effectiveness Level'!$B$3*BC67)+('Cost-Effectiveness Level'!$C$3*BD67)+('Cost-Effectiveness Level'!$D$3*BE67)+('Cost-Effectiveness Level'!$E$3*BF67)</f>
        <v>2338.4134192792267</v>
      </c>
      <c r="BI67" s="109"/>
      <c r="BJ67" s="109"/>
      <c r="BK67" s="362">
        <v>720.6856138294755</v>
      </c>
      <c r="BL67" s="115">
        <v>843.568707881629</v>
      </c>
      <c r="BM67" s="115">
        <v>2032.581306768239</v>
      </c>
      <c r="BN67" s="115">
        <v>2482.1564605918547</v>
      </c>
      <c r="BO67" s="358">
        <v>200</v>
      </c>
      <c r="BP67" s="363">
        <f>('Cost-Effectiveness Level'!$B$3*BK67)+('Cost-Effectiveness Level'!$C$3*BL67)+('Cost-Effectiveness Level'!$D$3*BM67)+('Cost-Effectiveness Level'!$E$3*BN67)</f>
        <v>1198.1746264283622</v>
      </c>
    </row>
    <row r="68" spans="47:68" ht="14.25">
      <c r="AU68" s="362">
        <v>1532.3469088778202</v>
      </c>
      <c r="AV68" s="115">
        <v>1790.1259888661002</v>
      </c>
      <c r="AW68" s="115">
        <v>3409.6103135071785</v>
      </c>
      <c r="AX68" s="115">
        <v>4156.3433929094645</v>
      </c>
      <c r="AY68" s="358">
        <v>180</v>
      </c>
      <c r="AZ68" s="363">
        <f>('Cost-Effectiveness Level'!$B$3*AU68)+('Cost-Effectiveness Level'!$C$3*AV68)+('Cost-Effectiveness Level'!$D$3*AW68)+('Cost-Effectiveness Level'!$E$3*AX68)</f>
        <v>2261.752124230882</v>
      </c>
      <c r="BA68" s="109"/>
      <c r="BB68" s="109"/>
      <c r="BC68" s="362">
        <v>1142.865514210372</v>
      </c>
      <c r="BD68" s="115">
        <v>1358.9803691766774</v>
      </c>
      <c r="BE68" s="115">
        <v>2765.836507471433</v>
      </c>
      <c r="BF68" s="115">
        <v>3454.8784060943453</v>
      </c>
      <c r="BG68" s="358">
        <v>180</v>
      </c>
      <c r="BH68" s="363">
        <f>('Cost-Effectiveness Level'!$B$3*BC68)+('Cost-Effectiveness Level'!$C$3*BD68)+('Cost-Effectiveness Level'!$D$3*BE68)+('Cost-Effectiveness Level'!$E$3*BF68)</f>
        <v>1772.2663346029885</v>
      </c>
      <c r="BI68" s="109"/>
      <c r="BJ68" s="109"/>
      <c r="BK68" s="362">
        <v>450.6006445941987</v>
      </c>
      <c r="BL68" s="115">
        <v>540.7266334602989</v>
      </c>
      <c r="BM68" s="115">
        <v>1500.1757984178143</v>
      </c>
      <c r="BN68" s="115">
        <v>1851.2745385291532</v>
      </c>
      <c r="BO68" s="358">
        <v>180</v>
      </c>
      <c r="BP68" s="363">
        <f>('Cost-Effectiveness Level'!$B$3*BK68)+('Cost-Effectiveness Level'!$C$3*BL68)+('Cost-Effectiveness Level'!$D$3*BM68)+('Cost-Effectiveness Level'!$E$3*BN68)</f>
        <v>828.0911221799005</v>
      </c>
    </row>
    <row r="69" spans="47:68" ht="14.25">
      <c r="AU69" s="362">
        <v>1064.4594198652212</v>
      </c>
      <c r="AV69" s="115">
        <v>1258.3943744506298</v>
      </c>
      <c r="AW69" s="115">
        <v>2635.071784353941</v>
      </c>
      <c r="AX69" s="115">
        <v>3262.6428362144743</v>
      </c>
      <c r="AY69" s="358">
        <v>160</v>
      </c>
      <c r="AZ69" s="363">
        <f>('Cost-Effectiveness Level'!$B$3*AU69)+('Cost-Effectiveness Level'!$C$3*AV69)+('Cost-Effectiveness Level'!$D$3*AW69)+('Cost-Effectiveness Level'!$E$3*AX69)</f>
        <v>1663.989159097568</v>
      </c>
      <c r="BA69" s="109"/>
      <c r="BB69" s="109"/>
      <c r="BC69" s="362">
        <v>767.4479929680634</v>
      </c>
      <c r="BD69" s="115">
        <v>909.9912100791094</v>
      </c>
      <c r="BE69" s="115">
        <v>2077.1755054204514</v>
      </c>
      <c r="BF69" s="115">
        <v>2624.846176384413</v>
      </c>
      <c r="BG69" s="358">
        <v>160</v>
      </c>
      <c r="BH69" s="363">
        <f>('Cost-Effectiveness Level'!$B$3*BC69)+('Cost-Effectiveness Level'!$C$3*BD69)+('Cost-Effectiveness Level'!$D$3*BE69)+('Cost-Effectiveness Level'!$E$3*BF69)</f>
        <v>1259.021388807501</v>
      </c>
      <c r="BI69" s="109"/>
      <c r="BJ69" s="109"/>
      <c r="BK69" s="362">
        <v>226.04746557280987</v>
      </c>
      <c r="BL69" s="115">
        <v>297.8318195136244</v>
      </c>
      <c r="BM69" s="115">
        <v>1012.3351889832992</v>
      </c>
      <c r="BN69" s="115">
        <v>1280.603574567829</v>
      </c>
      <c r="BO69" s="358">
        <v>160</v>
      </c>
      <c r="BP69" s="363">
        <f>('Cost-Effectiveness Level'!$B$3*BK69)+('Cost-Effectiveness Level'!$C$3*BL69)+('Cost-Effectiveness Level'!$D$3*BM69)+('Cost-Effectiveness Level'!$E$3*BN69)</f>
        <v>511.2393788455904</v>
      </c>
    </row>
    <row r="70" spans="47:68" ht="14.25">
      <c r="AU70" s="362">
        <v>658.716671549956</v>
      </c>
      <c r="AV70" s="115">
        <v>788.7489012598887</v>
      </c>
      <c r="AW70" s="115">
        <v>1897.9783181951364</v>
      </c>
      <c r="AX70" s="115">
        <v>2399.619103428069</v>
      </c>
      <c r="AY70" s="358">
        <v>140</v>
      </c>
      <c r="AZ70" s="363">
        <f>('Cost-Effectiveness Level'!$B$3*AU70)+('Cost-Effectiveness Level'!$C$3*AV70)+('Cost-Effectiveness Level'!$D$3*AW70)+('Cost-Effectiveness Level'!$E$3*AX70)</f>
        <v>1120.593319660123</v>
      </c>
      <c r="BA70" s="109"/>
      <c r="BB70" s="109"/>
      <c r="BC70" s="362">
        <v>442.9827131555817</v>
      </c>
      <c r="BD70" s="115">
        <v>522.5607969528274</v>
      </c>
      <c r="BE70" s="115">
        <v>1449.047758570173</v>
      </c>
      <c r="BF70" s="115">
        <v>1838.8807500732496</v>
      </c>
      <c r="BG70" s="358">
        <v>140</v>
      </c>
      <c r="BH70" s="363">
        <f>('Cost-Effectiveness Level'!$B$3*BC70)+('Cost-Effectiveness Level'!$C$3*BD70)+('Cost-Effectiveness Level'!$D$3*BE70)+('Cost-Effectiveness Level'!$E$3*BF70)</f>
        <v>804.0829182537358</v>
      </c>
      <c r="BI70" s="109"/>
      <c r="BJ70" s="109"/>
      <c r="BK70" s="362">
        <v>73.54233811895693</v>
      </c>
      <c r="BL70" s="115">
        <v>124.64107823029593</v>
      </c>
      <c r="BM70" s="115">
        <v>586.6979197187226</v>
      </c>
      <c r="BN70" s="115">
        <v>805.332552007032</v>
      </c>
      <c r="BO70" s="358">
        <v>140</v>
      </c>
      <c r="BP70" s="363">
        <f>('Cost-Effectiveness Level'!$B$3*BK70)+('Cost-Effectiveness Level'!$C$3*BL70)+('Cost-Effectiveness Level'!$D$3*BM70)+('Cost-Effectiveness Level'!$E$3*BN70)</f>
        <v>263.9701142689716</v>
      </c>
    </row>
    <row r="71" spans="47:68" ht="15" thickBot="1">
      <c r="AU71" s="364">
        <v>336.1265748608263</v>
      </c>
      <c r="AV71" s="365">
        <v>395.839437445063</v>
      </c>
      <c r="AW71" s="365">
        <v>1231.4386170524465</v>
      </c>
      <c r="AX71" s="365">
        <v>1596.1031350717844</v>
      </c>
      <c r="AY71" s="366">
        <v>120</v>
      </c>
      <c r="AZ71" s="367">
        <f>('Cost-Effectiveness Level'!$B$3*AU71)+('Cost-Effectiveness Level'!$C$3*AV71)+('Cost-Effectiveness Level'!$D$3*AW71)+('Cost-Effectiveness Level'!$E$3*AX71)</f>
        <v>652.8098447113977</v>
      </c>
      <c r="BA71" s="109"/>
      <c r="BB71" s="109"/>
      <c r="BC71" s="364">
        <v>193.6126574860826</v>
      </c>
      <c r="BD71" s="365">
        <v>234.77878699091707</v>
      </c>
      <c r="BE71" s="365">
        <v>902.666276003516</v>
      </c>
      <c r="BF71" s="365">
        <v>1161.0899501904485</v>
      </c>
      <c r="BG71" s="366">
        <v>120</v>
      </c>
      <c r="BH71" s="367">
        <f>('Cost-Effectiveness Level'!$B$3*BC71)+('Cost-Effectiveness Level'!$C$3*BD71)+('Cost-Effectiveness Level'!$D$3*BE71)+('Cost-Effectiveness Level'!$E$3*BF71)</f>
        <v>439.8329915030765</v>
      </c>
      <c r="BI71" s="109"/>
      <c r="BJ71" s="109"/>
      <c r="BK71" s="364">
        <v>8.233225900966891</v>
      </c>
      <c r="BL71" s="365">
        <v>25.402871374157634</v>
      </c>
      <c r="BM71" s="365">
        <v>261.0899501904483</v>
      </c>
      <c r="BN71" s="365">
        <v>418.69323176091416</v>
      </c>
      <c r="BO71" s="366">
        <v>120</v>
      </c>
      <c r="BP71" s="367">
        <f>('Cost-Effectiveness Level'!$B$3*BK71)+('Cost-Effectiveness Level'!$C$3*BL71)+('Cost-Effectiveness Level'!$D$3*BM71)+('Cost-Effectiveness Level'!$E$3*BN71)</f>
        <v>100.55523000292999</v>
      </c>
    </row>
    <row r="72" spans="47:68" ht="14.25">
      <c r="AU72" s="110">
        <v>171.51694986226312</v>
      </c>
      <c r="AV72" s="110">
        <v>198.65493313086188</v>
      </c>
      <c r="AW72" s="110">
        <v>798.9770236206315</v>
      </c>
      <c r="AX72" s="110">
        <v>1061.645664575092</v>
      </c>
      <c r="AY72" s="111">
        <v>100</v>
      </c>
      <c r="AZ72" s="112">
        <f>('Cost-Effectiveness Level'!$B$3*AU72)+('Cost-Effectiveness Level'!$C$3*AV72)+('Cost-Effectiveness Level'!$D$3*AW72)+('Cost-Effectiveness Level'!$E$3*AX72)</f>
        <v>386.457395671796</v>
      </c>
      <c r="BA72" s="109"/>
      <c r="BB72" s="109"/>
      <c r="BC72" s="110">
        <v>84.62149882055914</v>
      </c>
      <c r="BD72" s="110">
        <v>105.48261397018325</v>
      </c>
      <c r="BE72" s="110">
        <v>562.304728063659</v>
      </c>
      <c r="BF72" s="110">
        <v>733.1252297787971</v>
      </c>
      <c r="BG72" s="111">
        <v>100</v>
      </c>
      <c r="BH72" s="112">
        <f>('Cost-Effectiveness Level'!$B$3*BC72)+('Cost-Effectiveness Level'!$C$3*BD72)+('Cost-Effectiveness Level'!$D$3*BE72)+('Cost-Effectiveness Level'!$E$3*BF72)</f>
        <v>246.89805025405806</v>
      </c>
      <c r="BI72" s="109"/>
      <c r="BJ72" s="109"/>
      <c r="BK72" s="110">
        <v>0.9217276805464926</v>
      </c>
      <c r="BL72" s="110">
        <v>5.177312995156246</v>
      </c>
      <c r="BM72" s="110">
        <v>116.18920026703378</v>
      </c>
      <c r="BN72" s="110">
        <v>217.67904685525224</v>
      </c>
      <c r="BO72" s="111">
        <v>100</v>
      </c>
      <c r="BP72" s="112">
        <f>('Cost-Effectiveness Level'!$B$3*BK72)+('Cost-Effectiveness Level'!$C$3*BL72)+('Cost-Effectiveness Level'!$D$3*BM72)+('Cost-Effectiveness Level'!$E$3*BN72)</f>
        <v>42.704254443208484</v>
      </c>
    </row>
  </sheetData>
  <mergeCells count="20">
    <mergeCell ref="BS1:BX1"/>
    <mergeCell ref="I25:L25"/>
    <mergeCell ref="R32:V33"/>
    <mergeCell ref="F25:G25"/>
    <mergeCell ref="A18:P18"/>
    <mergeCell ref="M19:P19"/>
    <mergeCell ref="BS20:BX20"/>
    <mergeCell ref="R13:V13"/>
    <mergeCell ref="B1:C1"/>
    <mergeCell ref="A16:F16"/>
    <mergeCell ref="R19:V19"/>
    <mergeCell ref="B46:C46"/>
    <mergeCell ref="D46:E46"/>
    <mergeCell ref="F46:G46"/>
    <mergeCell ref="A45:H45"/>
    <mergeCell ref="B25:C25"/>
    <mergeCell ref="D25:E25"/>
    <mergeCell ref="I19:L19"/>
    <mergeCell ref="E19:H19"/>
    <mergeCell ref="B19:D19"/>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3"/>
  <dimension ref="A3:D7"/>
  <sheetViews>
    <sheetView zoomScale="75" zoomScaleNormal="75" workbookViewId="0" topLeftCell="C1">
      <selection activeCell="D7" sqref="D7"/>
    </sheetView>
  </sheetViews>
  <sheetFormatPr defaultColWidth="9.140625" defaultRowHeight="12.75"/>
  <cols>
    <col min="1" max="1" width="125.57421875" style="0" customWidth="1"/>
    <col min="2" max="2" width="140.28125" style="0" customWidth="1"/>
    <col min="3" max="3" width="85.421875" style="0" customWidth="1"/>
    <col min="4" max="4" width="23.8515625" style="0" customWidth="1"/>
  </cols>
  <sheetData>
    <row r="3" spans="1:4" ht="12.75">
      <c r="A3" s="116" t="s">
        <v>120</v>
      </c>
      <c r="B3" s="116" t="s">
        <v>121</v>
      </c>
      <c r="C3" s="116" t="s">
        <v>122</v>
      </c>
      <c r="D3" s="116" t="s">
        <v>123</v>
      </c>
    </row>
    <row r="4" spans="1:4" ht="12.75">
      <c r="A4" s="97" t="s">
        <v>553</v>
      </c>
      <c r="B4" t="s">
        <v>557</v>
      </c>
      <c r="C4" t="s">
        <v>425</v>
      </c>
      <c r="D4" t="s">
        <v>207</v>
      </c>
    </row>
    <row r="5" spans="1:4" ht="12.75">
      <c r="A5" s="97" t="s">
        <v>554</v>
      </c>
      <c r="B5" t="s">
        <v>557</v>
      </c>
      <c r="C5" t="s">
        <v>425</v>
      </c>
      <c r="D5" t="s">
        <v>208</v>
      </c>
    </row>
    <row r="6" spans="1:4" ht="12.75">
      <c r="A6" s="97" t="s">
        <v>555</v>
      </c>
      <c r="B6" t="s">
        <v>557</v>
      </c>
      <c r="C6" t="s">
        <v>425</v>
      </c>
      <c r="D6" t="s">
        <v>209</v>
      </c>
    </row>
    <row r="7" spans="1:4" ht="12.75">
      <c r="A7" s="97" t="s">
        <v>556</v>
      </c>
      <c r="B7" t="s">
        <v>557</v>
      </c>
      <c r="C7" t="s">
        <v>425</v>
      </c>
      <c r="D7" t="s">
        <v>600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Weatherization - Single Family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2003-01-17T19:49:20Z</dcterms:modified>
  <cp:category/>
  <cp:version/>
  <cp:contentType/>
  <cp:contentStatus/>
</cp:coreProperties>
</file>